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 codeName="{1AED2BDD-1FA3-CEF2-32D4-FBADEFEB71EE}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ardu\PlaneWave Dropbox\Tech Subjects\Pier Height Calculators\"/>
    </mc:Choice>
  </mc:AlternateContent>
  <xr:revisionPtr revIDLastSave="0" documentId="8_{D3E948EB-CC6E-4628-A93C-27DD10EF7484}" xr6:coauthVersionLast="44" xr6:coauthVersionMax="44" xr10:uidLastSave="{00000000-0000-0000-0000-000000000000}"/>
  <bookViews>
    <workbookView xWindow="2430" yWindow="3780" windowWidth="27315" windowHeight="11385" tabRatio="534" firstSheet="1" activeTab="2" xr2:uid="{00000000-000D-0000-FFFF-FFFF00000000}"/>
  </bookViews>
  <sheets>
    <sheet name="A200 and other GEM's" sheetId="1" r:id="rId1"/>
    <sheet name="L-Series AltAz" sheetId="7" r:id="rId2"/>
    <sheet name="L-Series EQ" sheetId="8" r:id="rId3"/>
    <sheet name="CDK700" sheetId="5" r:id="rId4"/>
    <sheet name="Other Forks" sheetId="2" r:id="rId5"/>
    <sheet name="AltAz" sheetId="4" r:id="rId6"/>
    <sheet name="Data" sheetId="6" r:id="rId7"/>
  </sheets>
  <definedNames>
    <definedName name="A">Data!$C$11:$C$17</definedName>
    <definedName name="AA">Data!$D$20:$D$22</definedName>
    <definedName name="AB">Data!$E$20:$E$22</definedName>
    <definedName name="AltAz_Mounts">Data!$B$20:$B$22</definedName>
    <definedName name="Aperture">Data!$G$3:$G$7</definedName>
    <definedName name="B">Data!$D$11:$D$17</definedName>
    <definedName name="C_">Data!$E$11:$E$17</definedName>
    <definedName name="CDK">Data!$B$3:$B$7</definedName>
    <definedName name="D">Data!$C$3:$C$7</definedName>
    <definedName name="E">Data!$D$3:$D$7</definedName>
    <definedName name="F">Data!$E$3:$E$7</definedName>
    <definedName name="G">Data!$F$3:$F$7</definedName>
    <definedName name="H">Data!$C$20:$C$22</definedName>
    <definedName name="I">Data!$F$11:$F$17</definedName>
    <definedName name="Mount">Data!$B$11:$B$17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6" i="8" l="1"/>
  <c r="D6" i="8"/>
  <c r="D23" i="8" l="1"/>
  <c r="D40" i="8" l="1"/>
  <c r="D5" i="7"/>
  <c r="D15" i="7" s="1"/>
  <c r="D7" i="8"/>
  <c r="F7" i="8" s="1"/>
  <c r="D11" i="8"/>
  <c r="D35" i="8" s="1"/>
  <c r="D10" i="8"/>
  <c r="D9" i="8"/>
  <c r="D8" i="8"/>
  <c r="C5" i="1"/>
  <c r="D6" i="7"/>
  <c r="D19" i="8" l="1"/>
  <c r="D22" i="8"/>
  <c r="D24" i="8" s="1"/>
  <c r="F6" i="8"/>
  <c r="D38" i="8"/>
  <c r="D39" i="8" s="1"/>
  <c r="D41" i="8" s="1"/>
  <c r="D42" i="8" s="1"/>
  <c r="D25" i="8" s="1"/>
  <c r="E7" i="8"/>
  <c r="D27" i="8" s="1"/>
  <c r="D45" i="8"/>
  <c r="D46" i="8" s="1"/>
  <c r="D48" i="8" s="1"/>
  <c r="D49" i="8" s="1"/>
  <c r="D26" i="8" s="1"/>
  <c r="D29" i="8" l="1"/>
  <c r="D20" i="8"/>
  <c r="D21" i="8" s="1"/>
  <c r="D28" i="8"/>
  <c r="D17" i="7" l="1"/>
  <c r="C13" i="1" l="1"/>
  <c r="E13" i="1" s="1"/>
  <c r="M53" i="7" l="1"/>
  <c r="M54" i="7"/>
  <c r="D19" i="7" l="1"/>
  <c r="D7" i="7"/>
  <c r="C11" i="1"/>
  <c r="D48" i="7"/>
  <c r="D47" i="7"/>
  <c r="D16" i="7" l="1"/>
  <c r="M56" i="7"/>
  <c r="L60" i="7"/>
  <c r="M55" i="7" s="1"/>
  <c r="F1" i="7"/>
  <c r="D18" i="7" l="1"/>
  <c r="C22" i="1"/>
  <c r="C8" i="1" l="1"/>
  <c r="D8" i="1" s="1"/>
  <c r="C7" i="1"/>
  <c r="D7" i="1" s="1"/>
  <c r="C6" i="1"/>
  <c r="C62" i="1" s="1"/>
  <c r="C58" i="1" l="1"/>
  <c r="E7" i="1"/>
  <c r="C33" i="1"/>
  <c r="C63" i="1"/>
  <c r="E6" i="1"/>
  <c r="C71" i="1" l="1"/>
  <c r="C12" i="1"/>
  <c r="C67" i="1" s="1"/>
  <c r="C66" i="1"/>
  <c r="C10" i="1"/>
  <c r="C65" i="1" s="1"/>
  <c r="C9" i="1"/>
  <c r="C50" i="1"/>
  <c r="D50" i="1" s="1"/>
  <c r="D9" i="1" l="1"/>
  <c r="C64" i="1"/>
  <c r="C55" i="1"/>
  <c r="D55" i="1" s="1"/>
  <c r="C30" i="1"/>
  <c r="C45" i="1"/>
  <c r="E45" i="1" s="1"/>
  <c r="C35" i="1"/>
  <c r="C34" i="1"/>
  <c r="E9" i="1"/>
  <c r="C51" i="1"/>
  <c r="D51" i="1" s="1"/>
  <c r="D11" i="1"/>
  <c r="E11" i="1"/>
  <c r="E12" i="1"/>
  <c r="D12" i="1"/>
  <c r="E10" i="1"/>
  <c r="D10" i="1"/>
  <c r="E5" i="1"/>
  <c r="D5" i="1"/>
  <c r="C48" i="1" l="1"/>
  <c r="D48" i="1" s="1"/>
  <c r="C54" i="1"/>
  <c r="D54" i="1" s="1"/>
  <c r="C49" i="1"/>
  <c r="D49" i="1" s="1"/>
  <c r="B25" i="5"/>
  <c r="B23" i="5"/>
  <c r="B22" i="5"/>
  <c r="B24" i="5" s="1"/>
  <c r="B21" i="5"/>
  <c r="B18" i="4"/>
  <c r="D5" i="4"/>
  <c r="B48" i="4"/>
  <c r="B57" i="4"/>
  <c r="B50" i="4"/>
  <c r="B45" i="4"/>
  <c r="B49" i="4" s="1"/>
  <c r="B51" i="4" s="1"/>
  <c r="B52" i="4" s="1"/>
  <c r="B24" i="4" s="1"/>
  <c r="B22" i="4"/>
  <c r="D7" i="4"/>
  <c r="C7" i="4"/>
  <c r="D6" i="4"/>
  <c r="C6" i="4"/>
  <c r="B26" i="4"/>
  <c r="D4" i="4"/>
  <c r="B28" i="4" s="1"/>
  <c r="C4" i="4"/>
  <c r="B57" i="2"/>
  <c r="B50" i="2"/>
  <c r="B45" i="2"/>
  <c r="B22" i="2"/>
  <c r="D7" i="2"/>
  <c r="C7" i="2"/>
  <c r="D6" i="2"/>
  <c r="C6" i="2"/>
  <c r="D5" i="2"/>
  <c r="C5" i="2"/>
  <c r="B26" i="2" s="1"/>
  <c r="D4" i="2"/>
  <c r="C4" i="2"/>
  <c r="C83" i="1"/>
  <c r="C76" i="1"/>
  <c r="C37" i="1"/>
  <c r="C36" i="1"/>
  <c r="C26" i="1"/>
  <c r="E8" i="1"/>
  <c r="C25" i="1" s="1"/>
  <c r="D6" i="1"/>
  <c r="B21" i="4" l="1"/>
  <c r="B23" i="4" s="1"/>
  <c r="B27" i="2"/>
  <c r="B55" i="2"/>
  <c r="B56" i="2" s="1"/>
  <c r="B58" i="2" s="1"/>
  <c r="B59" i="2" s="1"/>
  <c r="B25" i="2" s="1"/>
  <c r="B27" i="4"/>
  <c r="C81" i="1"/>
  <c r="C82" i="1" s="1"/>
  <c r="C84" i="1" s="1"/>
  <c r="C85" i="1" s="1"/>
  <c r="C29" i="1" s="1"/>
  <c r="E30" i="1"/>
  <c r="C69" i="1"/>
  <c r="C70" i="1" s="1"/>
  <c r="C74" i="1"/>
  <c r="C23" i="1" s="1"/>
  <c r="B21" i="2"/>
  <c r="B23" i="2" s="1"/>
  <c r="B55" i="4"/>
  <c r="B56" i="4" s="1"/>
  <c r="B58" i="4" s="1"/>
  <c r="B59" i="4" s="1"/>
  <c r="B25" i="4" s="1"/>
  <c r="B48" i="2"/>
  <c r="B49" i="2" s="1"/>
  <c r="B51" i="2" s="1"/>
  <c r="B52" i="2" s="1"/>
  <c r="B24" i="2" s="1"/>
  <c r="B28" i="2"/>
  <c r="C27" i="1" l="1"/>
  <c r="C42" i="1"/>
  <c r="C44" i="1" s="1"/>
  <c r="C41" i="1"/>
  <c r="E41" i="1" s="1"/>
  <c r="B18" i="2"/>
  <c r="C75" i="1"/>
  <c r="C77" i="1" s="1"/>
  <c r="C78" i="1" s="1"/>
  <c r="C28" i="1" s="1"/>
  <c r="C43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Jason</author>
  </authors>
  <commentList>
    <comment ref="B18" authorId="0" shapeId="0" xr:uid="{00000000-0006-0000-0000-000001000000}">
      <text>
        <r>
          <rPr>
            <b/>
            <sz val="11"/>
            <color indexed="81"/>
            <rFont val="Tahoma"/>
            <family val="2"/>
          </rPr>
          <t xml:space="preserve">If pier goes all the way to the observatory floor, enter 0 </t>
        </r>
        <r>
          <rPr>
            <sz val="11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Jason Fournier</author>
  </authors>
  <commentList>
    <comment ref="B11" authorId="0" shapeId="0" xr:uid="{1183A2EC-5581-4B67-B3FD-16F9614B74D7}">
      <text>
        <r>
          <rPr>
            <b/>
            <sz val="9"/>
            <color indexed="81"/>
            <rFont val="Tahoma"/>
            <family val="2"/>
          </rPr>
          <t xml:space="preserve">If pier goes all the way to the observatory floor, enter 0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Jason Fournier</author>
  </authors>
  <commentList>
    <comment ref="B16" authorId="0" shapeId="0" xr:uid="{E075E014-740F-4158-963D-C990FA8EACC8}">
      <text>
        <r>
          <rPr>
            <b/>
            <sz val="9"/>
            <color indexed="81"/>
            <rFont val="Tahoma"/>
            <family val="2"/>
          </rPr>
          <t xml:space="preserve">If pier goes all the way to the observatory floor, enter 0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Jason Fournier</author>
  </authors>
  <commentList>
    <comment ref="D19" authorId="0" shapeId="0" xr:uid="{1F98F9A4-DEB1-4311-80E0-EAA62338E9EF}">
      <text>
        <r>
          <rPr>
            <b/>
            <sz val="9"/>
            <color indexed="81"/>
            <rFont val="Tahoma"/>
            <family val="2"/>
          </rPr>
          <t>Jason Fournier:</t>
        </r>
        <r>
          <rPr>
            <sz val="9"/>
            <color indexed="81"/>
            <rFont val="Tahoma"/>
            <family val="2"/>
          </rPr>
          <t xml:space="preserve">
Height of wedge</t>
        </r>
      </text>
    </comment>
  </commentList>
</comments>
</file>

<file path=xl/sharedStrings.xml><?xml version="1.0" encoding="utf-8"?>
<sst xmlns="http://schemas.openxmlformats.org/spreadsheetml/2006/main" count="440" uniqueCount="181">
  <si>
    <t>SITE INPUT</t>
  </si>
  <si>
    <t>Latitude</t>
  </si>
  <si>
    <t>x</t>
  </si>
  <si>
    <t>y</t>
  </si>
  <si>
    <t>OUTPUTS</t>
  </si>
  <si>
    <t>Degrees</t>
  </si>
  <si>
    <t>Inches</t>
  </si>
  <si>
    <t>Feet</t>
  </si>
  <si>
    <t>Dome Diameter(2*R)</t>
  </si>
  <si>
    <t>Dome Wall Height(H)</t>
  </si>
  <si>
    <t>Max Tube Height</t>
  </si>
  <si>
    <t>Max Dome Height (at center)</t>
  </si>
  <si>
    <t>Clearance (at max scope)</t>
  </si>
  <si>
    <t>inches</t>
  </si>
  <si>
    <t>Pier Height (P)</t>
  </si>
  <si>
    <t>Dist in x from BC intersection to high point of F</t>
  </si>
  <si>
    <t>Height of dome at above calced offset from center</t>
  </si>
  <si>
    <t>SCOPE AND MOUNT INPUTS</t>
  </si>
  <si>
    <t>Pier Offset</t>
  </si>
  <si>
    <t>Rnorth</t>
  </si>
  <si>
    <t>Rsouth</t>
  </si>
  <si>
    <t>If Pier is centered</t>
  </si>
  <si>
    <t>Clearance Rnorth</t>
  </si>
  <si>
    <t>Clearance Rsouth</t>
  </si>
  <si>
    <t>Misc Calcs</t>
  </si>
  <si>
    <t>If Pier is Offset(center B, C intersection)</t>
  </si>
  <si>
    <t>C=Ay+By+P</t>
  </si>
  <si>
    <t>R in inches</t>
  </si>
  <si>
    <t>degrees</t>
  </si>
  <si>
    <t>Inches (+ is above, ideal is 0)</t>
  </si>
  <si>
    <t>Calc'd x-y components</t>
  </si>
  <si>
    <t>A (A200=11.5, AP3600=)</t>
  </si>
  <si>
    <t>Dist BC intersection is above wall</t>
  </si>
  <si>
    <t>Southern Horizon Calc</t>
  </si>
  <si>
    <t>East/West Horizont Calc</t>
  </si>
  <si>
    <t>C=Ay+By+Cy+P</t>
  </si>
  <si>
    <t>East/West Horizon Limit</t>
  </si>
  <si>
    <t>Southern Horizon Limit</t>
  </si>
  <si>
    <t>Aperture</t>
  </si>
  <si>
    <t>AR: Aperture Radius</t>
  </si>
  <si>
    <t>AR-(C-H)</t>
  </si>
  <si>
    <t>ATAN (AR-(C-H)/R) in radians</t>
  </si>
  <si>
    <t>ATAN (AR-(C-H)/R) in degrees</t>
  </si>
  <si>
    <t>A (MI1000=15.5, MI750=15.5, MI500=11.875)</t>
  </si>
  <si>
    <t>B (MI1000 with 1250 arms=43.3, MI1000=40.8, MI750=31, MI500 with 750 arms=28.9)</t>
  </si>
  <si>
    <t>Inches (+ is above, ideal is 0, adjust P)</t>
  </si>
  <si>
    <t>na</t>
  </si>
  <si>
    <t>Eyepiece Height at Zenith</t>
  </si>
  <si>
    <t>Eyepiece Height at 45 degrees</t>
  </si>
  <si>
    <t>Distance that the DEC Axis is above wall height</t>
  </si>
  <si>
    <t>Clearance of scope and dome at max height</t>
  </si>
  <si>
    <t>D (CDK24=17, CDK20=13.5,CDK17=12)</t>
  </si>
  <si>
    <t>A (MI1000=8, MI750=, MI500=)</t>
  </si>
  <si>
    <t>Distance that the ALT Axis is above wall height</t>
  </si>
  <si>
    <t>C (A200=10.5)</t>
  </si>
  <si>
    <t>B (A200=8)</t>
  </si>
  <si>
    <t>A - Base to Alt Axis</t>
  </si>
  <si>
    <t>B - Alt Axis to Front of Tube (diagonal)</t>
  </si>
  <si>
    <t>C - Pier Height (optional)</t>
  </si>
  <si>
    <t>Max Horizontal Foot print</t>
  </si>
  <si>
    <t>E (CDK24=45, CDK20=36, CDk17=17)</t>
  </si>
  <si>
    <t>F (CDK24=17)</t>
  </si>
  <si>
    <t>G (CDK24=26)</t>
  </si>
  <si>
    <t>Clearance Reast</t>
  </si>
  <si>
    <t>E (CDK24=45, CDK20=38, CDK17=30, CDK12=28)</t>
  </si>
  <si>
    <t>F (CDK24=17, CDK20=12.5, CDK17=11, CDK12=7.5)</t>
  </si>
  <si>
    <t>G (CDK24=26, CDK20=17, CDK17=15, CDK12=18)</t>
  </si>
  <si>
    <t>Eyepiece Heights</t>
  </si>
  <si>
    <t>Looking at the pole</t>
  </si>
  <si>
    <t>East/West horizon</t>
  </si>
  <si>
    <t>North/South horizon</t>
  </si>
  <si>
    <t>Pointing at Zenith</t>
  </si>
  <si>
    <t>Tube Max Heights</t>
  </si>
  <si>
    <t>North/South Horizon</t>
  </si>
  <si>
    <t>(inches)</t>
  </si>
  <si>
    <t>(feet)</t>
  </si>
  <si>
    <t>Intersections based on latitude</t>
  </si>
  <si>
    <t>CDK</t>
  </si>
  <si>
    <t>A</t>
  </si>
  <si>
    <t>B</t>
  </si>
  <si>
    <t>C</t>
  </si>
  <si>
    <t>D</t>
  </si>
  <si>
    <t>E</t>
  </si>
  <si>
    <t>F</t>
  </si>
  <si>
    <t>G</t>
  </si>
  <si>
    <t>A200</t>
  </si>
  <si>
    <t>AP3600</t>
  </si>
  <si>
    <t>Select Your CDK</t>
  </si>
  <si>
    <t>Select Your Mount</t>
  </si>
  <si>
    <t>CDK 12.5</t>
  </si>
  <si>
    <t>CDK 17</t>
  </si>
  <si>
    <t>CDK 20</t>
  </si>
  <si>
    <t>CDK 24</t>
  </si>
  <si>
    <t>Paramount ME</t>
  </si>
  <si>
    <t>Paraount MEII</t>
  </si>
  <si>
    <t>Mount</t>
  </si>
  <si>
    <t>SCOPE AND MOUNT PARAMETERS (FROM DIAGRAM)</t>
  </si>
  <si>
    <t>Dimension "A"</t>
  </si>
  <si>
    <t>Dimension "B"</t>
  </si>
  <si>
    <t>Dimension "C"</t>
  </si>
  <si>
    <t>Dimension "D"</t>
  </si>
  <si>
    <t>Dimension "E"</t>
  </si>
  <si>
    <t>Dimension "F"</t>
  </si>
  <si>
    <t>Dimension "G"</t>
  </si>
  <si>
    <t>INPUT SITE INFORMATION</t>
  </si>
  <si>
    <t>Petestal Height</t>
  </si>
  <si>
    <t>Pier to floor distance</t>
  </si>
  <si>
    <t>Press Button to Calculate Pier Height</t>
  </si>
  <si>
    <t>Paramount MX</t>
  </si>
  <si>
    <t>Go to Formulas Menu and select Name Manager to</t>
  </si>
  <si>
    <t>add more items to the data list</t>
  </si>
  <si>
    <t>AP1600</t>
  </si>
  <si>
    <t>F ( CDK24=17, CDK20=14, 17=12)</t>
  </si>
  <si>
    <t>G (CDK24=26, CDK20= 13.5, CDK17=15)</t>
  </si>
  <si>
    <t>E (CDK24=40, CDK20=36, CDK17=30)</t>
  </si>
  <si>
    <t>CDK 14</t>
  </si>
  <si>
    <t>AP1100</t>
  </si>
  <si>
    <t>Minimum Height Clearance (for roll-off observatories)</t>
  </si>
  <si>
    <t>Height of BC intersection above pivot point "A"</t>
  </si>
  <si>
    <t>Dim "C" (Y) + Dim "D" (Y)</t>
  </si>
  <si>
    <t>Dim "E" (Y)</t>
  </si>
  <si>
    <t>Dim "F" (Y)</t>
  </si>
  <si>
    <t>Dim "G" (Y)</t>
  </si>
  <si>
    <t>(Inches)</t>
  </si>
  <si>
    <t>Distance that Counterweight bar hangs below mount base</t>
  </si>
  <si>
    <t>I</t>
  </si>
  <si>
    <t>A1</t>
  </si>
  <si>
    <t>A2</t>
  </si>
  <si>
    <t>Counter Weight Bar (For A200 only)</t>
  </si>
  <si>
    <t>L500</t>
  </si>
  <si>
    <t xml:space="preserve"> </t>
  </si>
  <si>
    <t>Inputs</t>
  </si>
  <si>
    <t>in</t>
  </si>
  <si>
    <t>L500=39.81, L600=50</t>
  </si>
  <si>
    <t>Radius of OTA</t>
  </si>
  <si>
    <t>17=11.38 , 20=12.88, 24=17</t>
  </si>
  <si>
    <t>Length of OTA from CG to Front Ring</t>
  </si>
  <si>
    <t>17= 33, 20=40, 24=43</t>
  </si>
  <si>
    <t>P</t>
  </si>
  <si>
    <t>Wall Height</t>
  </si>
  <si>
    <t>W</t>
  </si>
  <si>
    <t>Dome Diameter</t>
  </si>
  <si>
    <t>Outputs</t>
  </si>
  <si>
    <t>Max Height of telescope</t>
  </si>
  <si>
    <t>H</t>
  </si>
  <si>
    <t>Max Height when pointed horizontal</t>
  </si>
  <si>
    <t xml:space="preserve">Clearance </t>
  </si>
  <si>
    <t>Alt Axis - Wall Height (nice to be close to zero, + means alt axis is above the wall)</t>
  </si>
  <si>
    <t>Calculations</t>
  </si>
  <si>
    <t>Dome Max Height</t>
  </si>
  <si>
    <t>L600</t>
  </si>
  <si>
    <t>A3</t>
  </si>
  <si>
    <t>AltAz_Mounts</t>
  </si>
  <si>
    <t>AA</t>
  </si>
  <si>
    <t>Height of L mount</t>
  </si>
  <si>
    <t>Dim</t>
  </si>
  <si>
    <t>Alt Axis = Wall Height (Ideal is zero)</t>
  </si>
  <si>
    <t>Clearance to top of Dome</t>
  </si>
  <si>
    <t>Petestal Height (above observatory floor)</t>
  </si>
  <si>
    <t>M</t>
  </si>
  <si>
    <t>K</t>
  </si>
  <si>
    <t>Dimension "I"</t>
  </si>
  <si>
    <t>Units</t>
  </si>
  <si>
    <t>C=Ay+Hy+P</t>
  </si>
  <si>
    <t>Dome Wall Height(W)</t>
  </si>
  <si>
    <t>AR-(C-W)</t>
  </si>
  <si>
    <t>Dome Radius</t>
  </si>
  <si>
    <t>Rads</t>
  </si>
  <si>
    <t>Rad of OTA</t>
  </si>
  <si>
    <t>Rad of OTA w/dovetail</t>
  </si>
  <si>
    <t>CG to front of OTA</t>
  </si>
  <si>
    <t>CG to focal plane</t>
  </si>
  <si>
    <t>Guestimate</t>
  </si>
  <si>
    <t>Height of Equatorial Wedge</t>
  </si>
  <si>
    <t>Distance that the DEC Axis (C-E Intersection) is above wall height (Ideal is zero)</t>
  </si>
  <si>
    <t>Deg</t>
  </si>
  <si>
    <t xml:space="preserve">in </t>
  </si>
  <si>
    <t>L350</t>
  </si>
  <si>
    <t>Saddle Height</t>
  </si>
  <si>
    <t>Approximate Parked OTA Height (pointed @ western horizon)</t>
  </si>
  <si>
    <t>AB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</si>
</sst>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8"/>
      <color rgb="FF0070C0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indexed="81"/>
      <name val="Tahoma"/>
      <family val="2"/>
    </font>
    <font>
      <b/>
      <sz val="11"/>
      <color indexed="81"/>
      <name val="Tahoma"/>
      <family val="2"/>
    </font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i/>
      <sz val="11"/>
      <color theme="0" tint="-0.34998626667073579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color theme="0" tint="-0.499984740745262"/>
      <name val="Calibri"/>
      <family val="2"/>
      <scheme val="minor"/>
    </font>
    <font>
      <sz val="11"/>
      <color rgb="FF00B0F0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b/>
      <i/>
      <sz val="12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1" fillId="7" borderId="0" applyNumberFormat="0" applyBorder="0" applyAlignment="0" applyProtection="0"/>
  </cellStyleXfs>
  <cellXfs count="142">
    <xf numFmtId="0" fontId="0" fillId="0" borderId="0" xfId="0"/>
    <xf numFmtId="2" fontId="0" fillId="0" borderId="0" xfId="0" applyNumberFormat="1"/>
    <xf numFmtId="0" fontId="0" fillId="2" borderId="0" xfId="0" applyFill="1"/>
    <xf numFmtId="2" fontId="0" fillId="2" borderId="0" xfId="0" applyNumberFormat="1" applyFill="1"/>
    <xf numFmtId="0" fontId="0" fillId="3" borderId="1" xfId="0" applyFill="1" applyBorder="1"/>
    <xf numFmtId="0" fontId="0" fillId="3" borderId="2" xfId="0" applyFill="1" applyBorder="1"/>
    <xf numFmtId="0" fontId="0" fillId="3" borderId="3" xfId="0" applyFill="1" applyBorder="1"/>
    <xf numFmtId="0" fontId="1" fillId="0" borderId="0" xfId="0" applyFont="1"/>
    <xf numFmtId="0" fontId="0" fillId="3" borderId="0" xfId="0" applyFill="1"/>
    <xf numFmtId="0" fontId="0" fillId="2" borderId="0" xfId="0" applyFill="1" applyAlignment="1">
      <alignment wrapText="1"/>
    </xf>
    <xf numFmtId="2" fontId="0" fillId="4" borderId="1" xfId="0" applyNumberFormat="1" applyFill="1" applyBorder="1"/>
    <xf numFmtId="2" fontId="0" fillId="4" borderId="2" xfId="0" applyNumberFormat="1" applyFill="1" applyBorder="1"/>
    <xf numFmtId="2" fontId="0" fillId="4" borderId="3" xfId="0" applyNumberFormat="1" applyFill="1" applyBorder="1"/>
    <xf numFmtId="0" fontId="0" fillId="4" borderId="2" xfId="0" applyFill="1" applyBorder="1"/>
    <xf numFmtId="0" fontId="0" fillId="4" borderId="1" xfId="0" applyFill="1" applyBorder="1"/>
    <xf numFmtId="0" fontId="0" fillId="4" borderId="4" xfId="0" applyFill="1" applyBorder="1"/>
    <xf numFmtId="0" fontId="0" fillId="3" borderId="4" xfId="0" applyFill="1" applyBorder="1"/>
    <xf numFmtId="0" fontId="1" fillId="0" borderId="0" xfId="0" applyFont="1" applyFill="1"/>
    <xf numFmtId="2" fontId="0" fillId="0" borderId="0" xfId="0" applyNumberFormat="1" applyAlignment="1">
      <alignment wrapText="1"/>
    </xf>
    <xf numFmtId="164" fontId="0" fillId="4" borderId="3" xfId="0" applyNumberFormat="1" applyFill="1" applyBorder="1"/>
    <xf numFmtId="0" fontId="0" fillId="0" borderId="0" xfId="0" applyAlignment="1">
      <alignment wrapText="1"/>
    </xf>
    <xf numFmtId="0" fontId="1" fillId="0" borderId="0" xfId="0" applyFont="1" applyFill="1" applyBorder="1"/>
    <xf numFmtId="0" fontId="0" fillId="0" borderId="0" xfId="0" applyFill="1" applyBorder="1"/>
    <xf numFmtId="2" fontId="0" fillId="0" borderId="0" xfId="0" applyNumberFormat="1" applyFill="1" applyBorder="1"/>
    <xf numFmtId="0" fontId="0" fillId="0" borderId="0" xfId="0" applyFont="1" applyFill="1" applyBorder="1"/>
    <xf numFmtId="0" fontId="0" fillId="0" borderId="0" xfId="0" applyFill="1"/>
    <xf numFmtId="2" fontId="0" fillId="0" borderId="0" xfId="0" applyNumberFormat="1" applyFill="1"/>
    <xf numFmtId="164" fontId="0" fillId="4" borderId="1" xfId="0" applyNumberFormat="1" applyFill="1" applyBorder="1"/>
    <xf numFmtId="0" fontId="0" fillId="0" borderId="0" xfId="0" applyFill="1" applyAlignment="1">
      <alignment wrapText="1"/>
    </xf>
    <xf numFmtId="0" fontId="2" fillId="2" borderId="0" xfId="0" applyFont="1" applyFill="1"/>
    <xf numFmtId="2" fontId="2" fillId="2" borderId="0" xfId="0" applyNumberFormat="1" applyFont="1" applyFill="1"/>
    <xf numFmtId="0" fontId="0" fillId="4" borderId="3" xfId="0" applyFill="1" applyBorder="1"/>
    <xf numFmtId="2" fontId="3" fillId="0" borderId="0" xfId="0" applyNumberFormat="1" applyFont="1"/>
    <xf numFmtId="0" fontId="0" fillId="0" borderId="5" xfId="0" applyBorder="1"/>
    <xf numFmtId="0" fontId="5" fillId="0" borderId="0" xfId="0" applyFont="1" applyAlignment="1">
      <alignment horizontal="left"/>
    </xf>
    <xf numFmtId="0" fontId="2" fillId="0" borderId="0" xfId="0" applyFont="1"/>
    <xf numFmtId="0" fontId="0" fillId="4" borderId="1" xfId="0" applyFill="1" applyBorder="1" applyAlignment="1">
      <alignment horizontal="right"/>
    </xf>
    <xf numFmtId="0" fontId="0" fillId="4" borderId="2" xfId="0" applyFill="1" applyBorder="1" applyAlignment="1">
      <alignment horizontal="right"/>
    </xf>
    <xf numFmtId="0" fontId="4" fillId="2" borderId="6" xfId="0" applyFont="1" applyFill="1" applyBorder="1" applyAlignment="1">
      <alignment wrapText="1"/>
    </xf>
    <xf numFmtId="0" fontId="4" fillId="2" borderId="6" xfId="0" applyFont="1" applyFill="1" applyBorder="1"/>
    <xf numFmtId="0" fontId="6" fillId="0" borderId="0" xfId="0" applyFont="1"/>
    <xf numFmtId="0" fontId="0" fillId="5" borderId="4" xfId="0" applyFill="1" applyBorder="1"/>
    <xf numFmtId="0" fontId="0" fillId="6" borderId="5" xfId="0" applyFill="1" applyBorder="1"/>
    <xf numFmtId="0" fontId="7" fillId="0" borderId="0" xfId="0" applyFont="1" applyAlignment="1">
      <alignment vertical="center"/>
    </xf>
    <xf numFmtId="0" fontId="0" fillId="3" borderId="7" xfId="0" applyFill="1" applyBorder="1"/>
    <xf numFmtId="0" fontId="0" fillId="3" borderId="8" xfId="0" applyFill="1" applyBorder="1"/>
    <xf numFmtId="0" fontId="0" fillId="3" borderId="9" xfId="0" applyFill="1" applyBorder="1"/>
    <xf numFmtId="0" fontId="0" fillId="4" borderId="7" xfId="0" applyFill="1" applyBorder="1"/>
    <xf numFmtId="0" fontId="0" fillId="4" borderId="8" xfId="0" applyFill="1" applyBorder="1"/>
    <xf numFmtId="0" fontId="0" fillId="4" borderId="9" xfId="0" applyFill="1" applyBorder="1"/>
    <xf numFmtId="0" fontId="0" fillId="0" borderId="0" xfId="0" applyAlignment="1">
      <alignment vertical="center"/>
    </xf>
    <xf numFmtId="2" fontId="7" fillId="4" borderId="2" xfId="0" applyNumberFormat="1" applyFont="1" applyFill="1" applyBorder="1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left"/>
    </xf>
    <xf numFmtId="2" fontId="11" fillId="4" borderId="4" xfId="1" applyNumberFormat="1" applyFill="1" applyBorder="1" applyAlignment="1">
      <alignment horizontal="left"/>
    </xf>
    <xf numFmtId="0" fontId="4" fillId="0" borderId="0" xfId="0" applyFont="1"/>
    <xf numFmtId="0" fontId="11" fillId="0" borderId="0" xfId="0" applyFont="1"/>
    <xf numFmtId="0" fontId="11" fillId="0" borderId="10" xfId="0" applyFont="1" applyBorder="1"/>
    <xf numFmtId="0" fontId="1" fillId="0" borderId="10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11" fillId="6" borderId="11" xfId="0" applyFont="1" applyFill="1" applyBorder="1"/>
    <xf numFmtId="0" fontId="11" fillId="6" borderId="12" xfId="0" applyFont="1" applyFill="1" applyBorder="1"/>
    <xf numFmtId="0" fontId="11" fillId="6" borderId="13" xfId="0" applyFont="1" applyFill="1" applyBorder="1"/>
    <xf numFmtId="0" fontId="11" fillId="6" borderId="14" xfId="0" applyFont="1" applyFill="1" applyBorder="1"/>
    <xf numFmtId="0" fontId="11" fillId="6" borderId="0" xfId="0" applyFont="1" applyFill="1" applyBorder="1"/>
    <xf numFmtId="0" fontId="11" fillId="6" borderId="15" xfId="0" applyFont="1" applyFill="1" applyBorder="1"/>
    <xf numFmtId="0" fontId="1" fillId="0" borderId="10" xfId="0" applyFont="1" applyBorder="1"/>
    <xf numFmtId="164" fontId="11" fillId="0" borderId="0" xfId="0" applyNumberFormat="1" applyFont="1"/>
    <xf numFmtId="0" fontId="11" fillId="0" borderId="0" xfId="0" applyFont="1" applyAlignment="1">
      <alignment wrapText="1"/>
    </xf>
    <xf numFmtId="0" fontId="4" fillId="0" borderId="10" xfId="0" applyFont="1" applyBorder="1"/>
    <xf numFmtId="0" fontId="12" fillId="0" borderId="10" xfId="0" applyFont="1" applyBorder="1"/>
    <xf numFmtId="0" fontId="12" fillId="0" borderId="0" xfId="0" applyFont="1"/>
    <xf numFmtId="0" fontId="0" fillId="0" borderId="5" xfId="0" applyFill="1" applyBorder="1"/>
    <xf numFmtId="0" fontId="0" fillId="0" borderId="0" xfId="0" applyFont="1"/>
    <xf numFmtId="0" fontId="13" fillId="0" borderId="0" xfId="0" applyFont="1"/>
    <xf numFmtId="0" fontId="13" fillId="0" borderId="0" xfId="0" applyFont="1" applyAlignment="1">
      <alignment horizontal="center"/>
    </xf>
    <xf numFmtId="0" fontId="11" fillId="8" borderId="0" xfId="0" applyFont="1" applyFill="1" applyBorder="1"/>
    <xf numFmtId="0" fontId="11" fillId="8" borderId="16" xfId="0" applyFont="1" applyFill="1" applyBorder="1"/>
    <xf numFmtId="0" fontId="11" fillId="8" borderId="17" xfId="0" applyFont="1" applyFill="1" applyBorder="1"/>
    <xf numFmtId="0" fontId="11" fillId="8" borderId="18" xfId="0" applyFont="1" applyFill="1" applyBorder="1"/>
    <xf numFmtId="0" fontId="11" fillId="8" borderId="19" xfId="0" applyFont="1" applyFill="1" applyBorder="1"/>
    <xf numFmtId="0" fontId="11" fillId="8" borderId="20" xfId="0" applyFont="1" applyFill="1" applyBorder="1"/>
    <xf numFmtId="0" fontId="11" fillId="8" borderId="21" xfId="0" applyFont="1" applyFill="1" applyBorder="1"/>
    <xf numFmtId="0" fontId="11" fillId="8" borderId="10" xfId="0" applyFont="1" applyFill="1" applyBorder="1"/>
    <xf numFmtId="0" fontId="11" fillId="8" borderId="22" xfId="0" applyFont="1" applyFill="1" applyBorder="1"/>
    <xf numFmtId="0" fontId="14" fillId="0" borderId="0" xfId="0" applyFont="1" applyAlignment="1">
      <alignment vertical="center"/>
    </xf>
    <xf numFmtId="0" fontId="17" fillId="0" borderId="0" xfId="0" applyFont="1"/>
    <xf numFmtId="0" fontId="7" fillId="3" borderId="8" xfId="0" applyFont="1" applyFill="1" applyBorder="1"/>
    <xf numFmtId="0" fontId="7" fillId="2" borderId="7" xfId="0" applyFont="1" applyFill="1" applyBorder="1"/>
    <xf numFmtId="0" fontId="17" fillId="0" borderId="0" xfId="0" applyFont="1" applyAlignment="1">
      <alignment wrapText="1"/>
    </xf>
    <xf numFmtId="0" fontId="18" fillId="0" borderId="5" xfId="0" applyFont="1" applyBorder="1"/>
    <xf numFmtId="0" fontId="18" fillId="8" borderId="0" xfId="0" applyFont="1" applyFill="1"/>
    <xf numFmtId="0" fontId="1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7" fillId="2" borderId="8" xfId="0" applyFont="1" applyFill="1" applyBorder="1"/>
    <xf numFmtId="0" fontId="7" fillId="2" borderId="9" xfId="0" applyFont="1" applyFill="1" applyBorder="1"/>
    <xf numFmtId="0" fontId="0" fillId="5" borderId="0" xfId="0" applyFill="1"/>
    <xf numFmtId="2" fontId="0" fillId="5" borderId="0" xfId="0" applyNumberFormat="1" applyFill="1"/>
    <xf numFmtId="0" fontId="1" fillId="3" borderId="7" xfId="0" applyFont="1" applyFill="1" applyBorder="1"/>
    <xf numFmtId="0" fontId="1" fillId="3" borderId="8" xfId="0" applyFont="1" applyFill="1" applyBorder="1"/>
    <xf numFmtId="0" fontId="1" fillId="3" borderId="9" xfId="0" applyFont="1" applyFill="1" applyBorder="1"/>
    <xf numFmtId="0" fontId="7" fillId="3" borderId="7" xfId="0" applyFont="1" applyFill="1" applyBorder="1"/>
    <xf numFmtId="0" fontId="7" fillId="3" borderId="9" xfId="0" applyFont="1" applyFill="1" applyBorder="1"/>
    <xf numFmtId="0" fontId="7" fillId="4" borderId="7" xfId="0" applyFont="1" applyFill="1" applyBorder="1"/>
    <xf numFmtId="0" fontId="7" fillId="4" borderId="8" xfId="0" applyFont="1" applyFill="1" applyBorder="1"/>
    <xf numFmtId="0" fontId="7" fillId="4" borderId="9" xfId="0" applyFont="1" applyFill="1" applyBorder="1"/>
    <xf numFmtId="0" fontId="1" fillId="2" borderId="7" xfId="0" applyFont="1" applyFill="1" applyBorder="1"/>
    <xf numFmtId="0" fontId="1" fillId="4" borderId="7" xfId="0" applyFont="1" applyFill="1" applyBorder="1"/>
    <xf numFmtId="0" fontId="7" fillId="0" borderId="0" xfId="0" applyFont="1" applyBorder="1"/>
    <xf numFmtId="0" fontId="7" fillId="0" borderId="0" xfId="0" applyFont="1"/>
    <xf numFmtId="0" fontId="19" fillId="0" borderId="0" xfId="0" applyFont="1"/>
    <xf numFmtId="164" fontId="7" fillId="0" borderId="0" xfId="0" applyNumberFormat="1" applyFont="1"/>
    <xf numFmtId="164" fontId="20" fillId="0" borderId="0" xfId="0" applyNumberFormat="1" applyFont="1"/>
    <xf numFmtId="0" fontId="7" fillId="2" borderId="8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Alignment="1">
      <alignment horizontal="center"/>
    </xf>
    <xf numFmtId="0" fontId="1" fillId="3" borderId="8" xfId="0" applyFont="1" applyFill="1" applyBorder="1" applyAlignment="1">
      <alignment horizontal="center"/>
    </xf>
    <xf numFmtId="0" fontId="0" fillId="4" borderId="8" xfId="0" applyFill="1" applyBorder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2" fontId="0" fillId="0" borderId="0" xfId="0" applyNumberFormat="1" applyFill="1" applyBorder="1" applyAlignment="1">
      <alignment horizontal="center"/>
    </xf>
    <xf numFmtId="2" fontId="0" fillId="2" borderId="0" xfId="0" applyNumberFormat="1" applyFill="1" applyAlignment="1">
      <alignment horizontal="center"/>
    </xf>
    <xf numFmtId="0" fontId="0" fillId="2" borderId="0" xfId="0" applyFill="1" applyAlignment="1">
      <alignment horizontal="center"/>
    </xf>
    <xf numFmtId="2" fontId="1" fillId="0" borderId="0" xfId="0" applyNumberFormat="1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2" fillId="0" borderId="0" xfId="0" applyFont="1" applyAlignment="1">
      <alignment wrapText="1"/>
    </xf>
    <xf numFmtId="0" fontId="0" fillId="9" borderId="0" xfId="0" applyFill="1"/>
    <xf numFmtId="0" fontId="0" fillId="9" borderId="0" xfId="0" applyFill="1" applyAlignment="1">
      <alignment horizontal="center"/>
    </xf>
    <xf numFmtId="2" fontId="1" fillId="9" borderId="0" xfId="0" applyNumberFormat="1" applyFont="1" applyFill="1" applyBorder="1" applyAlignment="1">
      <alignment horizontal="center"/>
    </xf>
    <xf numFmtId="2" fontId="0" fillId="0" borderId="0" xfId="0" applyNumberFormat="1" applyBorder="1"/>
    <xf numFmtId="0" fontId="0" fillId="0" borderId="0" xfId="0" applyBorder="1"/>
    <xf numFmtId="0" fontId="0" fillId="0" borderId="0" xfId="0" applyFill="1" applyBorder="1" applyAlignment="1">
      <alignment horizontal="left" vertical="center"/>
    </xf>
    <xf numFmtId="0" fontId="0" fillId="0" borderId="0" xfId="0" applyFill="1" applyBorder="1" applyAlignment="1">
      <alignment horizontal="left"/>
    </xf>
    <xf numFmtId="2" fontId="0" fillId="0" borderId="0" xfId="0" applyNumberFormat="1" applyFill="1" applyBorder="1" applyAlignment="1">
      <alignment wrapText="1"/>
    </xf>
    <xf numFmtId="0" fontId="0" fillId="0" borderId="0" xfId="0" applyFill="1" applyBorder="1" applyAlignment="1">
      <alignment vertical="top" wrapText="1"/>
    </xf>
    <xf numFmtId="0" fontId="0" fillId="0" borderId="0" xfId="0" applyFill="1" applyBorder="1" applyAlignment="1">
      <alignment vertical="center"/>
    </xf>
    <xf numFmtId="0" fontId="0" fillId="0" borderId="0" xfId="0" applyFill="1" applyBorder="1" applyAlignment="1"/>
    <xf numFmtId="0" fontId="3" fillId="0" borderId="0" xfId="0" applyFont="1" applyAlignment="1">
      <alignment wrapText="1"/>
    </xf>
    <xf numFmtId="0" fontId="3" fillId="0" borderId="0" xfId="0" applyFont="1"/>
    <xf numFmtId="2" fontId="22" fillId="0" borderId="0" xfId="0" applyNumberFormat="1" applyFont="1" applyAlignment="1">
      <alignment horizontal="center" vertical="center"/>
    </xf>
    <xf numFmtId="2" fontId="21" fillId="0" borderId="0" xfId="0" applyNumberFormat="1" applyFont="1" applyAlignment="1">
      <alignment horizontal="center" vertical="center"/>
    </xf>
    <xf numFmtId="0" fontId="0" fillId="3" borderId="0" xfId="0" applyFill="1" applyBorder="1" applyAlignment="1">
      <alignment horizontal="center"/>
    </xf>
  </cellXfs>
  <cellStyles count="2">
    <cellStyle name="20% - Accent4" xfId="1" builtinId="42"/>
    <cellStyle name="Normal" xfId="0" builtinId="0"/>
  </cellStyles>
  <dxfs count="6"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06/relationships/vbaProject" Target="vbaProject.bin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Drop" dropStyle="combo" dx="25" fmlaLink="$A$1" fmlaRange="CDK" sel="1" val="0"/>
</file>

<file path=xl/ctrlProps/ctrlProp2.xml><?xml version="1.0" encoding="utf-8"?>
<formControlPr xmlns="http://schemas.microsoft.com/office/spreadsheetml/2009/9/main" objectType="Drop" dropLines="5" dropStyle="combo" dx="25" fmlaLink="$A$2" fmlaRange="Mount" sel="2" val="0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Drop" dropStyle="combo" dx="25" fmlaLink="$A$1" fmlaRange="CDK" sel="5" val="0"/>
</file>

<file path=xl/ctrlProps/ctrlProp5.xml><?xml version="1.0" encoding="utf-8"?>
<formControlPr xmlns="http://schemas.microsoft.com/office/spreadsheetml/2009/9/main" objectType="Drop" dropLines="5" dropStyle="combo" dx="25" fmlaLink="$A$2" fmlaRange="AltAz_Mounts" sel="2" val="0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Drop" dropStyle="combo" dx="25" fmlaLink="$A$1" fmlaRange="CDK" sel="4" val="0"/>
</file>

<file path=xl/ctrlProps/ctrlProp8.xml><?xml version="1.0" encoding="utf-8"?>
<formControlPr xmlns="http://schemas.microsoft.com/office/spreadsheetml/2009/9/main" objectType="Drop" dropLines="5" dropStyle="combo" dx="25" fmlaLink="$A$2" fmlaRange="AltAz_Mounts" sel="1" val="0"/>
</file>

<file path=xl/ctrlProps/ctrlProp9.xml><?xml version="1.0" encoding="utf-8"?>
<formControlPr xmlns="http://schemas.microsoft.com/office/spreadsheetml/2009/9/main" objectType="Button" lockText="1"/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6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523875</xdr:colOff>
      <xdr:row>24</xdr:row>
      <xdr:rowOff>47625</xdr:rowOff>
    </xdr:from>
    <xdr:to>
      <xdr:col>4</xdr:col>
      <xdr:colOff>295275</xdr:colOff>
      <xdr:row>24</xdr:row>
      <xdr:rowOff>158750</xdr:rowOff>
    </xdr:to>
    <xdr:sp macro="" textlink="">
      <xdr:nvSpPr>
        <xdr:cNvPr id="2" name="Left Arrow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505325" y="5178425"/>
          <a:ext cx="571500" cy="111125"/>
        </a:xfrm>
        <a:prstGeom prst="left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3</xdr:col>
      <xdr:colOff>533400</xdr:colOff>
      <xdr:row>25</xdr:row>
      <xdr:rowOff>66675</xdr:rowOff>
    </xdr:from>
    <xdr:to>
      <xdr:col>4</xdr:col>
      <xdr:colOff>295275</xdr:colOff>
      <xdr:row>25</xdr:row>
      <xdr:rowOff>180974</xdr:rowOff>
    </xdr:to>
    <xdr:sp macro="" textlink="">
      <xdr:nvSpPr>
        <xdr:cNvPr id="3" name="Left Arrow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629025" y="4152900"/>
          <a:ext cx="523875" cy="114299"/>
        </a:xfrm>
        <a:prstGeom prst="left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285750</xdr:colOff>
          <xdr:row>0</xdr:row>
          <xdr:rowOff>152400</xdr:rowOff>
        </xdr:from>
        <xdr:to>
          <xdr:col>14</xdr:col>
          <xdr:colOff>57150</xdr:colOff>
          <xdr:row>22</xdr:row>
          <xdr:rowOff>152400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295275</xdr:colOff>
          <xdr:row>24</xdr:row>
          <xdr:rowOff>123825</xdr:rowOff>
        </xdr:from>
        <xdr:to>
          <xdr:col>14</xdr:col>
          <xdr:colOff>0</xdr:colOff>
          <xdr:row>55</xdr:row>
          <xdr:rowOff>104775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10</xdr:col>
      <xdr:colOff>95251</xdr:colOff>
      <xdr:row>25</xdr:row>
      <xdr:rowOff>38101</xdr:rowOff>
    </xdr:from>
    <xdr:to>
      <xdr:col>10</xdr:col>
      <xdr:colOff>131121</xdr:colOff>
      <xdr:row>54</xdr:row>
      <xdr:rowOff>96997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CxnSpPr/>
      </xdr:nvCxnSpPr>
      <xdr:spPr>
        <a:xfrm>
          <a:off x="8661401" y="5353051"/>
          <a:ext cx="35870" cy="5437346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387368</xdr:colOff>
      <xdr:row>39</xdr:row>
      <xdr:rowOff>183529</xdr:rowOff>
    </xdr:from>
    <xdr:to>
      <xdr:col>13</xdr:col>
      <xdr:colOff>483650</xdr:colOff>
      <xdr:row>40</xdr:row>
      <xdr:rowOff>7248</xdr:rowOff>
    </xdr:to>
    <xdr:cxnSp macro="">
      <xdr:nvCxnSpPr>
        <xdr:cNvPr id="7" name="Straight Connector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V="1">
          <a:off x="5905518" y="8101979"/>
          <a:ext cx="5582682" cy="7869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2066925</xdr:colOff>
          <xdr:row>0</xdr:row>
          <xdr:rowOff>123825</xdr:rowOff>
        </xdr:from>
        <xdr:to>
          <xdr:col>1</xdr:col>
          <xdr:colOff>3533775</xdr:colOff>
          <xdr:row>1</xdr:row>
          <xdr:rowOff>0</xdr:rowOff>
        </xdr:to>
        <xdr:sp macro="" textlink="">
          <xdr:nvSpPr>
            <xdr:cNvPr id="1038" name="Drop Down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2076450</xdr:colOff>
          <xdr:row>1</xdr:row>
          <xdr:rowOff>38100</xdr:rowOff>
        </xdr:from>
        <xdr:to>
          <xdr:col>1</xdr:col>
          <xdr:colOff>3533775</xdr:colOff>
          <xdr:row>1</xdr:row>
          <xdr:rowOff>276225</xdr:rowOff>
        </xdr:to>
        <xdr:sp macro="" textlink="">
          <xdr:nvSpPr>
            <xdr:cNvPr id="1039" name="Drop Down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2609850</xdr:colOff>
          <xdr:row>21</xdr:row>
          <xdr:rowOff>19050</xdr:rowOff>
        </xdr:from>
        <xdr:to>
          <xdr:col>1</xdr:col>
          <xdr:colOff>3371850</xdr:colOff>
          <xdr:row>21</xdr:row>
          <xdr:rowOff>390525</xdr:rowOff>
        </xdr:to>
        <xdr:sp macro="" textlink="">
          <xdr:nvSpPr>
            <xdr:cNvPr id="1041" name="Button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Calculate</a:t>
              </a:r>
            </a:p>
          </xdr:txBody>
        </xdr:sp>
        <xdr:clientData fPrintsWithSheet="0"/>
      </xdr:twoCellAnchor>
    </mc:Choice>
    <mc:Fallback/>
  </mc:AlternateContent>
  <xdr:twoCellAnchor>
    <xdr:from>
      <xdr:col>9</xdr:col>
      <xdr:colOff>22225</xdr:colOff>
      <xdr:row>12</xdr:row>
      <xdr:rowOff>190500</xdr:rowOff>
    </xdr:from>
    <xdr:to>
      <xdr:col>10</xdr:col>
      <xdr:colOff>34925</xdr:colOff>
      <xdr:row>17</xdr:row>
      <xdr:rowOff>127000</xdr:rowOff>
    </xdr:to>
    <xdr:cxnSp macro="">
      <xdr:nvCxnSpPr>
        <xdr:cNvPr id="6" name="Straight Connector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 flipH="1">
          <a:off x="8553450" y="2816225"/>
          <a:ext cx="622300" cy="892175"/>
        </a:xfrm>
        <a:prstGeom prst="line">
          <a:avLst/>
        </a:prstGeom>
        <a:ln>
          <a:solidFill>
            <a:srgbClr val="FF0000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57150</xdr:colOff>
      <xdr:row>14</xdr:row>
      <xdr:rowOff>12700</xdr:rowOff>
    </xdr:from>
    <xdr:to>
      <xdr:col>9</xdr:col>
      <xdr:colOff>371475</xdr:colOff>
      <xdr:row>15</xdr:row>
      <xdr:rowOff>82550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8588375" y="3032125"/>
          <a:ext cx="314325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 b="1">
              <a:solidFill>
                <a:srgbClr val="FF0000"/>
              </a:solidFill>
            </a:rPr>
            <a:t>I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15875</xdr:colOff>
      <xdr:row>10</xdr:row>
      <xdr:rowOff>111124</xdr:rowOff>
    </xdr:from>
    <xdr:to>
      <xdr:col>16</xdr:col>
      <xdr:colOff>121444</xdr:colOff>
      <xdr:row>24</xdr:row>
      <xdr:rowOff>119062</xdr:rowOff>
    </xdr:to>
    <xdr:sp macro="" textlink="">
      <xdr:nvSpPr>
        <xdr:cNvPr id="16" name="Rectangle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12950031" y="2928937"/>
          <a:ext cx="105569" cy="3163094"/>
        </a:xfrm>
        <a:prstGeom prst="rect">
          <a:avLst/>
        </a:prstGeom>
        <a:solidFill>
          <a:schemeClr val="bg1">
            <a:lumMod val="5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257176</xdr:colOff>
      <xdr:row>15</xdr:row>
      <xdr:rowOff>55562</xdr:rowOff>
    </xdr:from>
    <xdr:to>
      <xdr:col>17</xdr:col>
      <xdr:colOff>85726</xdr:colOff>
      <xdr:row>17</xdr:row>
      <xdr:rowOff>184944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 txBox="1"/>
      </xdr:nvSpPr>
      <xdr:spPr>
        <a:xfrm>
          <a:off x="13191332" y="4222750"/>
          <a:ext cx="467519" cy="534194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chemeClr val="tx2">
                  <a:lumMod val="60000"/>
                  <a:lumOff val="40000"/>
                </a:schemeClr>
              </a:solidFill>
            </a:rPr>
            <a:t>W</a:t>
          </a:r>
          <a:endParaRPr lang="en-US" sz="1100" b="1">
            <a:solidFill>
              <a:schemeClr val="tx2">
                <a:lumMod val="60000"/>
                <a:lumOff val="40000"/>
              </a:schemeClr>
            </a:solidFill>
          </a:endParaRPr>
        </a:p>
      </xdr:txBody>
    </xdr:sp>
    <xdr:clientData/>
  </xdr:twoCellAnchor>
  <xdr:twoCellAnchor>
    <xdr:from>
      <xdr:col>16</xdr:col>
      <xdr:colOff>297657</xdr:colOff>
      <xdr:row>10</xdr:row>
      <xdr:rowOff>119063</xdr:rowOff>
    </xdr:from>
    <xdr:to>
      <xdr:col>16</xdr:col>
      <xdr:colOff>309563</xdr:colOff>
      <xdr:row>24</xdr:row>
      <xdr:rowOff>154782</xdr:rowOff>
    </xdr:to>
    <xdr:cxnSp macro="">
      <xdr:nvCxnSpPr>
        <xdr:cNvPr id="19" name="Straight Arrow Connector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CxnSpPr/>
      </xdr:nvCxnSpPr>
      <xdr:spPr>
        <a:xfrm flipH="1">
          <a:off x="13231813" y="2722563"/>
          <a:ext cx="11906" cy="3190875"/>
        </a:xfrm>
        <a:prstGeom prst="straightConnector1">
          <a:avLst/>
        </a:prstGeom>
        <a:ln w="38100"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2038350</xdr:colOff>
          <xdr:row>0</xdr:row>
          <xdr:rowOff>123825</xdr:rowOff>
        </xdr:from>
        <xdr:to>
          <xdr:col>1</xdr:col>
          <xdr:colOff>3495675</xdr:colOff>
          <xdr:row>0</xdr:row>
          <xdr:rowOff>438150</xdr:rowOff>
        </xdr:to>
        <xdr:sp macro="" textlink="">
          <xdr:nvSpPr>
            <xdr:cNvPr id="6145" name="Drop Down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1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2019300</xdr:colOff>
          <xdr:row>1</xdr:row>
          <xdr:rowOff>114300</xdr:rowOff>
        </xdr:from>
        <xdr:to>
          <xdr:col>1</xdr:col>
          <xdr:colOff>3505200</xdr:colOff>
          <xdr:row>1</xdr:row>
          <xdr:rowOff>419100</xdr:rowOff>
        </xdr:to>
        <xdr:sp macro="" textlink="">
          <xdr:nvSpPr>
            <xdr:cNvPr id="6146" name="Drop Down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1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2457450</xdr:colOff>
          <xdr:row>13</xdr:row>
          <xdr:rowOff>38100</xdr:rowOff>
        </xdr:from>
        <xdr:to>
          <xdr:col>1</xdr:col>
          <xdr:colOff>3495675</xdr:colOff>
          <xdr:row>13</xdr:row>
          <xdr:rowOff>485775</xdr:rowOff>
        </xdr:to>
        <xdr:sp macro="" textlink="">
          <xdr:nvSpPr>
            <xdr:cNvPr id="6148" name="Button 4" descr="Calculate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1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Calculate</a:t>
              </a:r>
            </a:p>
          </xdr:txBody>
        </xdr:sp>
        <xdr:clientData fPrintsWithSheet="0"/>
      </xdr:twoCellAnchor>
    </mc:Choice>
    <mc:Fallback/>
  </mc:AlternateContent>
  <xdr:twoCellAnchor>
    <xdr:from>
      <xdr:col>5</xdr:col>
      <xdr:colOff>377032</xdr:colOff>
      <xdr:row>0</xdr:row>
      <xdr:rowOff>7938</xdr:rowOff>
    </xdr:from>
    <xdr:to>
      <xdr:col>16</xdr:col>
      <xdr:colOff>209734</xdr:colOff>
      <xdr:row>24</xdr:row>
      <xdr:rowOff>37069</xdr:rowOff>
    </xdr:to>
    <xdr:grpSp>
      <xdr:nvGrpSpPr>
        <xdr:cNvPr id="33" name="Group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GrpSpPr/>
      </xdr:nvGrpSpPr>
      <xdr:grpSpPr>
        <a:xfrm>
          <a:off x="5806282" y="7938"/>
          <a:ext cx="7119327" cy="5715556"/>
          <a:chOff x="6376995" y="492125"/>
          <a:chExt cx="7812180" cy="6692237"/>
        </a:xfrm>
      </xdr:grpSpPr>
      <xdr:pic>
        <xdr:nvPicPr>
          <xdr:cNvPr id="2" name="Picture 1">
            <a:extLst>
              <a:ext uri="{FF2B5EF4-FFF2-40B4-BE49-F238E27FC236}">
                <a16:creationId xmlns:a16="http://schemas.microsoft.com/office/drawing/2014/main" id="{00000000-0008-0000-0100-00000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8774" t="4398" r="9462" b="-6810"/>
          <a:stretch/>
        </xdr:blipFill>
        <xdr:spPr>
          <a:xfrm>
            <a:off x="6376995" y="586900"/>
            <a:ext cx="3578800" cy="5783906"/>
          </a:xfrm>
          <a:prstGeom prst="rect">
            <a:avLst/>
          </a:prstGeom>
        </xdr:spPr>
      </xdr:pic>
      <xdr:pic>
        <xdr:nvPicPr>
          <xdr:cNvPr id="3" name="Picture 2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0719752" y="492125"/>
            <a:ext cx="3079323" cy="5541871"/>
          </a:xfrm>
          <a:prstGeom prst="rect">
            <a:avLst/>
          </a:prstGeom>
        </xdr:spPr>
      </xdr:pic>
      <xdr:cxnSp macro="">
        <xdr:nvCxnSpPr>
          <xdr:cNvPr id="4" name="Straight Arrow Connector 3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CxnSpPr/>
        </xdr:nvCxnSpPr>
        <xdr:spPr>
          <a:xfrm>
            <a:off x="13652659" y="3104889"/>
            <a:ext cx="0" cy="2625720"/>
          </a:xfrm>
          <a:prstGeom prst="straightConnector1">
            <a:avLst/>
          </a:prstGeom>
          <a:ln w="38100">
            <a:headEnd type="arrow"/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Straight Arrow Connector 4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CxnSpPr/>
        </xdr:nvCxnSpPr>
        <xdr:spPr>
          <a:xfrm flipH="1">
            <a:off x="7126587" y="843770"/>
            <a:ext cx="551102" cy="587054"/>
          </a:xfrm>
          <a:prstGeom prst="straightConnector1">
            <a:avLst/>
          </a:prstGeom>
          <a:ln w="38100">
            <a:headEnd type="arrow"/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Straight Arrow Connector 5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CxnSpPr/>
        </xdr:nvCxnSpPr>
        <xdr:spPr>
          <a:xfrm>
            <a:off x="7199673" y="1502594"/>
            <a:ext cx="1661257" cy="1721615"/>
          </a:xfrm>
          <a:prstGeom prst="straightConnector1">
            <a:avLst/>
          </a:prstGeom>
          <a:ln w="38100">
            <a:headEnd type="arrow"/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SpPr txBox="1"/>
        </xdr:nvSpPr>
        <xdr:spPr>
          <a:xfrm flipH="1">
            <a:off x="13594775" y="4011303"/>
            <a:ext cx="594400" cy="649654"/>
          </a:xfrm>
          <a:prstGeom prst="rect">
            <a:avLst/>
          </a:prstGeom>
          <a:solidFill>
            <a:schemeClr val="lt1">
              <a:alpha val="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2400" b="1">
                <a:solidFill>
                  <a:schemeClr val="tx2">
                    <a:lumMod val="60000"/>
                    <a:lumOff val="40000"/>
                  </a:schemeClr>
                </a:solidFill>
              </a:rPr>
              <a:t>H</a:t>
            </a:r>
            <a:endParaRPr lang="en-US" sz="1100" b="1">
              <a:solidFill>
                <a:schemeClr val="tx2">
                  <a:lumMod val="60000"/>
                  <a:lumOff val="40000"/>
                </a:schemeClr>
              </a:solidFill>
            </a:endParaRP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SpPr txBox="1"/>
        </xdr:nvSpPr>
        <xdr:spPr>
          <a:xfrm>
            <a:off x="7112413" y="780678"/>
            <a:ext cx="360266" cy="431597"/>
          </a:xfrm>
          <a:prstGeom prst="rect">
            <a:avLst/>
          </a:prstGeom>
          <a:solidFill>
            <a:schemeClr val="lt1">
              <a:alpha val="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2400" b="1">
                <a:solidFill>
                  <a:schemeClr val="tx2">
                    <a:lumMod val="60000"/>
                    <a:lumOff val="40000"/>
                  </a:schemeClr>
                </a:solidFill>
              </a:rPr>
              <a:t>F</a:t>
            </a:r>
            <a:endParaRPr lang="en-US" sz="1100" b="1">
              <a:solidFill>
                <a:schemeClr val="tx2">
                  <a:lumMod val="60000"/>
                  <a:lumOff val="40000"/>
                </a:schemeClr>
              </a:solidFill>
            </a:endParaRP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SpPr txBox="1"/>
        </xdr:nvSpPr>
        <xdr:spPr>
          <a:xfrm>
            <a:off x="7986263" y="2020783"/>
            <a:ext cx="360265" cy="435006"/>
          </a:xfrm>
          <a:prstGeom prst="rect">
            <a:avLst/>
          </a:prstGeom>
          <a:solidFill>
            <a:schemeClr val="lt1">
              <a:alpha val="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2400" b="1">
                <a:solidFill>
                  <a:schemeClr val="tx2">
                    <a:lumMod val="60000"/>
                    <a:lumOff val="40000"/>
                  </a:schemeClr>
                </a:solidFill>
              </a:rPr>
              <a:t>E</a:t>
            </a:r>
            <a:endParaRPr lang="en-US" sz="1100" b="1">
              <a:solidFill>
                <a:schemeClr val="tx2">
                  <a:lumMod val="60000"/>
                  <a:lumOff val="40000"/>
                </a:schemeClr>
              </a:solidFill>
            </a:endParaRPr>
          </a:p>
        </xdr:txBody>
      </xdr:sp>
      <xdr:cxnSp macro="">
        <xdr:nvCxnSpPr>
          <xdr:cNvPr id="10" name="Straight Arrow Connector 9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CxnSpPr/>
        </xdr:nvCxnSpPr>
        <xdr:spPr>
          <a:xfrm>
            <a:off x="10219417" y="541874"/>
            <a:ext cx="17552" cy="6050864"/>
          </a:xfrm>
          <a:prstGeom prst="straightConnector1">
            <a:avLst/>
          </a:prstGeom>
          <a:ln w="38100">
            <a:headEnd type="arrow"/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 txBox="1"/>
        </xdr:nvSpPr>
        <xdr:spPr>
          <a:xfrm>
            <a:off x="10151523" y="2895568"/>
            <a:ext cx="360265" cy="431597"/>
          </a:xfrm>
          <a:prstGeom prst="rect">
            <a:avLst/>
          </a:prstGeom>
          <a:solidFill>
            <a:schemeClr val="lt1">
              <a:alpha val="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2400" b="1">
                <a:solidFill>
                  <a:schemeClr val="tx2">
                    <a:lumMod val="60000"/>
                    <a:lumOff val="40000"/>
                  </a:schemeClr>
                </a:solidFill>
              </a:rPr>
              <a:t>M</a:t>
            </a:r>
            <a:endParaRPr lang="en-US" sz="1100" b="1">
              <a:solidFill>
                <a:schemeClr val="tx2">
                  <a:lumMod val="60000"/>
                  <a:lumOff val="40000"/>
                </a:schemeClr>
              </a:solidFill>
            </a:endParaRPr>
          </a:p>
        </xdr:txBody>
      </xdr:sp>
      <xdr:sp macro="" textlink="">
        <xdr:nvSpPr>
          <xdr:cNvPr id="12" name="Rectangle 11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/>
        </xdr:nvSpPr>
        <xdr:spPr>
          <a:xfrm>
            <a:off x="8312125" y="6784499"/>
            <a:ext cx="1210468" cy="399863"/>
          </a:xfrm>
          <a:prstGeom prst="rect">
            <a:avLst/>
          </a:prstGeom>
          <a:blipFill>
            <a:blip xmlns:r="http://schemas.openxmlformats.org/officeDocument/2006/relationships" r:embed="rId3"/>
            <a:tile tx="0" ty="0" sx="100000" sy="100000" flip="none" algn="tl"/>
          </a:blip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cxnSp macro="">
        <xdr:nvCxnSpPr>
          <xdr:cNvPr id="13" name="Straight Arrow Connector 12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CxnSpPr/>
        </xdr:nvCxnSpPr>
        <xdr:spPr>
          <a:xfrm flipH="1">
            <a:off x="9649502" y="5982475"/>
            <a:ext cx="6744" cy="749307"/>
          </a:xfrm>
          <a:prstGeom prst="straightConnector1">
            <a:avLst/>
          </a:prstGeom>
          <a:ln w="38100">
            <a:headEnd type="arrow"/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4" name="TextBox 13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SpPr txBox="1"/>
        </xdr:nvSpPr>
        <xdr:spPr>
          <a:xfrm>
            <a:off x="9653783" y="6081538"/>
            <a:ext cx="277812" cy="467402"/>
          </a:xfrm>
          <a:prstGeom prst="rect">
            <a:avLst/>
          </a:prstGeom>
          <a:solidFill>
            <a:schemeClr val="lt1">
              <a:alpha val="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2400" b="1">
                <a:solidFill>
                  <a:schemeClr val="tx2">
                    <a:lumMod val="60000"/>
                    <a:lumOff val="40000"/>
                  </a:schemeClr>
                </a:solidFill>
              </a:rPr>
              <a:t>P</a:t>
            </a:r>
            <a:endParaRPr lang="en-US" sz="1100" b="1">
              <a:solidFill>
                <a:schemeClr val="tx2">
                  <a:lumMod val="60000"/>
                  <a:lumOff val="40000"/>
                </a:schemeClr>
              </a:solidFill>
            </a:endParaRPr>
          </a:p>
        </xdr:txBody>
      </xdr:sp>
      <xdr:sp macro="" textlink="">
        <xdr:nvSpPr>
          <xdr:cNvPr id="17" name="Rectangle 16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SpPr/>
        </xdr:nvSpPr>
        <xdr:spPr>
          <a:xfrm>
            <a:off x="12135592" y="6769486"/>
            <a:ext cx="1254125" cy="376566"/>
          </a:xfrm>
          <a:prstGeom prst="rect">
            <a:avLst/>
          </a:prstGeom>
          <a:blipFill>
            <a:blip xmlns:r="http://schemas.openxmlformats.org/officeDocument/2006/relationships" r:embed="rId3"/>
            <a:tile tx="0" ty="0" sx="100000" sy="100000" flip="none" algn="tl"/>
          </a:blip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>
    <xdr:from>
      <xdr:col>8</xdr:col>
      <xdr:colOff>189532</xdr:colOff>
      <xdr:row>18</xdr:row>
      <xdr:rowOff>170405</xdr:rowOff>
    </xdr:from>
    <xdr:to>
      <xdr:col>10</xdr:col>
      <xdr:colOff>136055</xdr:colOff>
      <xdr:row>22</xdr:row>
      <xdr:rowOff>27206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30938" y="4730499"/>
          <a:ext cx="1224461" cy="666426"/>
        </a:xfrm>
        <a:prstGeom prst="rect">
          <a:avLst/>
        </a:prstGeom>
      </xdr:spPr>
    </xdr:pic>
    <xdr:clientData/>
  </xdr:twoCellAnchor>
  <xdr:twoCellAnchor>
    <xdr:from>
      <xdr:col>8</xdr:col>
      <xdr:colOff>42073</xdr:colOff>
      <xdr:row>22</xdr:row>
      <xdr:rowOff>130202</xdr:rowOff>
    </xdr:from>
    <xdr:to>
      <xdr:col>8</xdr:col>
      <xdr:colOff>49433</xdr:colOff>
      <xdr:row>24</xdr:row>
      <xdr:rowOff>67073</xdr:rowOff>
    </xdr:to>
    <xdr:cxnSp macro="">
      <xdr:nvCxnSpPr>
        <xdr:cNvPr id="32" name="Straight Arrow Connector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CxnSpPr/>
      </xdr:nvCxnSpPr>
      <xdr:spPr>
        <a:xfrm>
          <a:off x="7483479" y="5499921"/>
          <a:ext cx="7360" cy="325808"/>
        </a:xfrm>
        <a:prstGeom prst="straightConnector1">
          <a:avLst/>
        </a:prstGeom>
        <a:ln w="25400"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246887</xdr:colOff>
      <xdr:row>22</xdr:row>
      <xdr:rowOff>99121</xdr:rowOff>
    </xdr:from>
    <xdr:to>
      <xdr:col>7</xdr:col>
      <xdr:colOff>533870</xdr:colOff>
      <xdr:row>24</xdr:row>
      <xdr:rowOff>76254</xdr:rowOff>
    </xdr:to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 txBox="1"/>
      </xdr:nvSpPr>
      <xdr:spPr>
        <a:xfrm>
          <a:off x="7049325" y="5468840"/>
          <a:ext cx="286983" cy="36607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chemeClr val="tx2">
                  <a:lumMod val="60000"/>
                  <a:lumOff val="40000"/>
                </a:schemeClr>
              </a:solidFill>
            </a:rPr>
            <a:t>K</a:t>
          </a:r>
          <a:endParaRPr lang="en-US" sz="1100" b="1">
            <a:solidFill>
              <a:schemeClr val="tx2">
                <a:lumMod val="60000"/>
                <a:lumOff val="40000"/>
              </a:schemeClr>
            </a:solidFill>
          </a:endParaRPr>
        </a:p>
      </xdr:txBody>
    </xdr:sp>
    <xdr:clientData/>
  </xdr:twoCellAnchor>
  <xdr:twoCellAnchor>
    <xdr:from>
      <xdr:col>13</xdr:col>
      <xdr:colOff>170467</xdr:colOff>
      <xdr:row>18</xdr:row>
      <xdr:rowOff>162466</xdr:rowOff>
    </xdr:from>
    <xdr:to>
      <xdr:col>15</xdr:col>
      <xdr:colOff>116990</xdr:colOff>
      <xdr:row>22</xdr:row>
      <xdr:rowOff>19267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87717" y="4722560"/>
          <a:ext cx="1224461" cy="666426"/>
        </a:xfrm>
        <a:prstGeom prst="rect">
          <a:avLst/>
        </a:prstGeom>
      </xdr:spPr>
    </xdr:pic>
    <xdr:clientData/>
  </xdr:twoCellAnchor>
  <xdr:twoCellAnchor>
    <xdr:from>
      <xdr:col>8</xdr:col>
      <xdr:colOff>219838</xdr:colOff>
      <xdr:row>24</xdr:row>
      <xdr:rowOff>87753</xdr:rowOff>
    </xdr:from>
    <xdr:to>
      <xdr:col>15</xdr:col>
      <xdr:colOff>119667</xdr:colOff>
      <xdr:row>25</xdr:row>
      <xdr:rowOff>99220</xdr:rowOff>
    </xdr:to>
    <xdr:sp macro="" textlink="">
      <xdr:nvSpPr>
        <xdr:cNvPr id="39" name="Rectangle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SpPr/>
      </xdr:nvSpPr>
      <xdr:spPr>
        <a:xfrm rot="16200000">
          <a:off x="9939050" y="3568603"/>
          <a:ext cx="197999" cy="4753611"/>
        </a:xfrm>
        <a:prstGeom prst="rect">
          <a:avLst/>
        </a:prstGeom>
        <a:solidFill>
          <a:schemeClr val="bg1">
            <a:lumMod val="5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" rtlCol="0" anchor="ctr"/>
        <a:lstStyle/>
        <a:p>
          <a:pPr algn="l"/>
          <a:r>
            <a:rPr lang="en-US" sz="1100"/>
            <a:t>		</a:t>
          </a:r>
          <a:r>
            <a:rPr lang="en-US" sz="1100" baseline="0"/>
            <a:t>    </a:t>
          </a:r>
          <a:r>
            <a:rPr lang="en-US" sz="1100"/>
            <a:t>Observatory Floor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390524</xdr:colOff>
      <xdr:row>30</xdr:row>
      <xdr:rowOff>123825</xdr:rowOff>
    </xdr:from>
    <xdr:to>
      <xdr:col>21</xdr:col>
      <xdr:colOff>400049</xdr:colOff>
      <xdr:row>34</xdr:row>
      <xdr:rowOff>152400</xdr:rowOff>
    </xdr:to>
    <xdr:cxnSp macro="">
      <xdr:nvCxnSpPr>
        <xdr:cNvPr id="19" name="Straight Arrow Connector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CxnSpPr/>
      </xdr:nvCxnSpPr>
      <xdr:spPr>
        <a:xfrm rot="16200000" flipH="1">
          <a:off x="13374687" y="7065962"/>
          <a:ext cx="2838450" cy="9525"/>
        </a:xfrm>
        <a:prstGeom prst="straightConnector1">
          <a:avLst/>
        </a:prstGeom>
        <a:ln>
          <a:solidFill>
            <a:srgbClr val="FF0000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457200</xdr:colOff>
      <xdr:row>16</xdr:row>
      <xdr:rowOff>47625</xdr:rowOff>
    </xdr:from>
    <xdr:to>
      <xdr:col>18</xdr:col>
      <xdr:colOff>390525</xdr:colOff>
      <xdr:row>22</xdr:row>
      <xdr:rowOff>104775</xdr:rowOff>
    </xdr:to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SpPr txBox="1"/>
      </xdr:nvSpPr>
      <xdr:spPr>
        <a:xfrm>
          <a:off x="12417425" y="3683000"/>
          <a:ext cx="542925" cy="441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>
            <a:solidFill>
              <a:srgbClr val="FF0000"/>
            </a:solidFill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2028825</xdr:colOff>
          <xdr:row>0</xdr:row>
          <xdr:rowOff>38100</xdr:rowOff>
        </xdr:from>
        <xdr:to>
          <xdr:col>2</xdr:col>
          <xdr:colOff>0</xdr:colOff>
          <xdr:row>0</xdr:row>
          <xdr:rowOff>342900</xdr:rowOff>
        </xdr:to>
        <xdr:sp macro="" textlink="">
          <xdr:nvSpPr>
            <xdr:cNvPr id="8193" name="Drop Down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2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2028825</xdr:colOff>
          <xdr:row>1</xdr:row>
          <xdr:rowOff>57150</xdr:rowOff>
        </xdr:from>
        <xdr:to>
          <xdr:col>2</xdr:col>
          <xdr:colOff>0</xdr:colOff>
          <xdr:row>1</xdr:row>
          <xdr:rowOff>361950</xdr:rowOff>
        </xdr:to>
        <xdr:sp macro="" textlink="">
          <xdr:nvSpPr>
            <xdr:cNvPr id="8194" name="Drop Down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00000000-0008-0000-02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2362200</xdr:colOff>
          <xdr:row>17</xdr:row>
          <xdr:rowOff>76200</xdr:rowOff>
        </xdr:from>
        <xdr:to>
          <xdr:col>1</xdr:col>
          <xdr:colOff>3209925</xdr:colOff>
          <xdr:row>17</xdr:row>
          <xdr:rowOff>495300</xdr:rowOff>
        </xdr:to>
        <xdr:sp macro="" textlink="">
          <xdr:nvSpPr>
            <xdr:cNvPr id="8195" name="Button 3" descr="Calculate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id="{00000000-0008-0000-02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Calculate</a:t>
              </a:r>
            </a:p>
          </xdr:txBody>
        </xdr:sp>
        <xdr:clientData fPrintsWithSheet="0"/>
      </xdr:twoCellAnchor>
    </mc:Choice>
    <mc:Fallback/>
  </mc:AlternateContent>
  <xdr:twoCellAnchor>
    <xdr:from>
      <xdr:col>6</xdr:col>
      <xdr:colOff>8819</xdr:colOff>
      <xdr:row>2</xdr:row>
      <xdr:rowOff>178858</xdr:rowOff>
    </xdr:from>
    <xdr:to>
      <xdr:col>9</xdr:col>
      <xdr:colOff>593724</xdr:colOff>
      <xdr:row>24</xdr:row>
      <xdr:rowOff>27867</xdr:rowOff>
    </xdr:to>
    <xdr:grpSp>
      <xdr:nvGrpSpPr>
        <xdr:cNvPr id="105" name="Group 104">
          <a:extLst>
            <a:ext uri="{FF2B5EF4-FFF2-40B4-BE49-F238E27FC236}">
              <a16:creationId xmlns:a16="http://schemas.microsoft.com/office/drawing/2014/main" id="{00000000-0008-0000-0200-000069000000}"/>
            </a:ext>
          </a:extLst>
        </xdr:cNvPr>
        <xdr:cNvGrpSpPr/>
      </xdr:nvGrpSpPr>
      <xdr:grpSpPr>
        <a:xfrm>
          <a:off x="6123869" y="940858"/>
          <a:ext cx="3851980" cy="4335284"/>
          <a:chOff x="7282745" y="2858558"/>
          <a:chExt cx="3849872" cy="4313059"/>
        </a:xfrm>
        <a:effectLst>
          <a:reflection endPos="0" dir="5400000" sy="-100000" algn="bl" rotWithShape="0"/>
        </a:effectLst>
      </xdr:grpSpPr>
      <xdr:grpSp>
        <xdr:nvGrpSpPr>
          <xdr:cNvPr id="101" name="Group 100">
            <a:extLst>
              <a:ext uri="{FF2B5EF4-FFF2-40B4-BE49-F238E27FC236}">
                <a16:creationId xmlns:a16="http://schemas.microsoft.com/office/drawing/2014/main" id="{00000000-0008-0000-0200-000065000000}"/>
              </a:ext>
            </a:extLst>
          </xdr:cNvPr>
          <xdr:cNvGrpSpPr/>
        </xdr:nvGrpSpPr>
        <xdr:grpSpPr>
          <a:xfrm>
            <a:off x="7282745" y="2858558"/>
            <a:ext cx="3849872" cy="4313059"/>
            <a:chOff x="6992056" y="2610554"/>
            <a:chExt cx="3852694" cy="4942416"/>
          </a:xfrm>
        </xdr:grpSpPr>
        <xdr:grpSp>
          <xdr:nvGrpSpPr>
            <xdr:cNvPr id="80" name="Group 79">
              <a:extLst>
                <a:ext uri="{FF2B5EF4-FFF2-40B4-BE49-F238E27FC236}">
                  <a16:creationId xmlns:a16="http://schemas.microsoft.com/office/drawing/2014/main" id="{00000000-0008-0000-0200-000050000000}"/>
                </a:ext>
              </a:extLst>
            </xdr:cNvPr>
            <xdr:cNvGrpSpPr/>
          </xdr:nvGrpSpPr>
          <xdr:grpSpPr>
            <a:xfrm>
              <a:off x="6992056" y="2610554"/>
              <a:ext cx="3852694" cy="4942416"/>
              <a:chOff x="5810250" y="2099028"/>
              <a:chExt cx="3852694" cy="4072466"/>
            </a:xfrm>
          </xdr:grpSpPr>
          <xdr:grpSp>
            <xdr:nvGrpSpPr>
              <xdr:cNvPr id="79" name="Group 78">
                <a:extLst>
                  <a:ext uri="{FF2B5EF4-FFF2-40B4-BE49-F238E27FC236}">
                    <a16:creationId xmlns:a16="http://schemas.microsoft.com/office/drawing/2014/main" id="{00000000-0008-0000-0200-00004F000000}"/>
                  </a:ext>
                </a:extLst>
              </xdr:cNvPr>
              <xdr:cNvGrpSpPr/>
            </xdr:nvGrpSpPr>
            <xdr:grpSpPr>
              <a:xfrm>
                <a:off x="5810250" y="2099028"/>
                <a:ext cx="3852694" cy="4072466"/>
                <a:chOff x="5810250" y="2099028"/>
                <a:chExt cx="3852694" cy="4072466"/>
              </a:xfrm>
            </xdr:grpSpPr>
            <xdr:grpSp>
              <xdr:nvGrpSpPr>
                <xdr:cNvPr id="78" name="Group 77">
                  <a:extLst>
                    <a:ext uri="{FF2B5EF4-FFF2-40B4-BE49-F238E27FC236}">
                      <a16:creationId xmlns:a16="http://schemas.microsoft.com/office/drawing/2014/main" id="{00000000-0008-0000-0200-00004E000000}"/>
                    </a:ext>
                  </a:extLst>
                </xdr:cNvPr>
                <xdr:cNvGrpSpPr/>
              </xdr:nvGrpSpPr>
              <xdr:grpSpPr>
                <a:xfrm>
                  <a:off x="5810250" y="2099028"/>
                  <a:ext cx="3852694" cy="4072466"/>
                  <a:chOff x="5810250" y="2099028"/>
                  <a:chExt cx="3852694" cy="4072466"/>
                </a:xfrm>
              </xdr:grpSpPr>
              <xdr:pic>
                <xdr:nvPicPr>
                  <xdr:cNvPr id="48" name="Picture 47">
                    <a:extLst>
                      <a:ext uri="{FF2B5EF4-FFF2-40B4-BE49-F238E27FC236}">
                        <a16:creationId xmlns:a16="http://schemas.microsoft.com/office/drawing/2014/main" id="{00000000-0008-0000-0200-00003000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1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tretch>
                    <a:fillRect/>
                  </a:stretch>
                </xdr:blipFill>
                <xdr:spPr>
                  <a:xfrm>
                    <a:off x="5810250" y="2105376"/>
                    <a:ext cx="3174814" cy="4066118"/>
                  </a:xfrm>
                  <a:prstGeom prst="rect">
                    <a:avLst/>
                  </a:prstGeom>
                </xdr:spPr>
              </xdr:pic>
              <xdr:cxnSp macro="">
                <xdr:nvCxnSpPr>
                  <xdr:cNvPr id="49" name="Straight Connector 48">
                    <a:extLst>
                      <a:ext uri="{FF2B5EF4-FFF2-40B4-BE49-F238E27FC236}">
                        <a16:creationId xmlns:a16="http://schemas.microsoft.com/office/drawing/2014/main" id="{00000000-0008-0000-0200-000031000000}"/>
                      </a:ext>
                    </a:extLst>
                  </xdr:cNvPr>
                  <xdr:cNvCxnSpPr/>
                </xdr:nvCxnSpPr>
                <xdr:spPr>
                  <a:xfrm flipH="1" flipV="1">
                    <a:off x="7375268" y="5158932"/>
                    <a:ext cx="9533" cy="898293"/>
                  </a:xfrm>
                  <a:prstGeom prst="line">
                    <a:avLst/>
                  </a:prstGeom>
                  <a:ln w="28575"/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sp macro="" textlink="">
                <xdr:nvSpPr>
                  <xdr:cNvPr id="50" name="TextBox 49">
                    <a:extLst>
                      <a:ext uri="{FF2B5EF4-FFF2-40B4-BE49-F238E27FC236}">
                        <a16:creationId xmlns:a16="http://schemas.microsoft.com/office/drawing/2014/main" id="{00000000-0008-0000-0200-000032000000}"/>
                      </a:ext>
                    </a:extLst>
                  </xdr:cNvPr>
                  <xdr:cNvSpPr txBox="1"/>
                </xdr:nvSpPr>
                <xdr:spPr>
                  <a:xfrm>
                    <a:off x="7403864" y="5441433"/>
                    <a:ext cx="486131" cy="307895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r>
                      <a:rPr lang="en-US" sz="1600" b="1"/>
                      <a:t>P</a:t>
                    </a:r>
                  </a:p>
                </xdr:txBody>
              </xdr:sp>
              <xdr:sp macro="" textlink="">
                <xdr:nvSpPr>
                  <xdr:cNvPr id="51" name="TextBox 50">
                    <a:extLst>
                      <a:ext uri="{FF2B5EF4-FFF2-40B4-BE49-F238E27FC236}">
                        <a16:creationId xmlns:a16="http://schemas.microsoft.com/office/drawing/2014/main" id="{00000000-0008-0000-0200-000033000000}"/>
                      </a:ext>
                    </a:extLst>
                  </xdr:cNvPr>
                  <xdr:cNvSpPr txBox="1"/>
                </xdr:nvSpPr>
                <xdr:spPr>
                  <a:xfrm>
                    <a:off x="6498326" y="4701850"/>
                    <a:ext cx="486131" cy="307895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r>
                      <a:rPr lang="en-US" sz="1600" b="1"/>
                      <a:t>A</a:t>
                    </a:r>
                  </a:p>
                </xdr:txBody>
              </xdr:sp>
              <xdr:cxnSp macro="">
                <xdr:nvCxnSpPr>
                  <xdr:cNvPr id="54" name="Straight Connector 53">
                    <a:extLst>
                      <a:ext uri="{FF2B5EF4-FFF2-40B4-BE49-F238E27FC236}">
                        <a16:creationId xmlns:a16="http://schemas.microsoft.com/office/drawing/2014/main" id="{00000000-0008-0000-0200-000036000000}"/>
                      </a:ext>
                    </a:extLst>
                  </xdr:cNvPr>
                  <xdr:cNvCxnSpPr/>
                </xdr:nvCxnSpPr>
                <xdr:spPr>
                  <a:xfrm>
                    <a:off x="7051181" y="5149410"/>
                    <a:ext cx="467067" cy="0"/>
                  </a:xfrm>
                  <a:prstGeom prst="line">
                    <a:avLst/>
                  </a:prstGeom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55" name="Straight Connector 54">
                    <a:extLst>
                      <a:ext uri="{FF2B5EF4-FFF2-40B4-BE49-F238E27FC236}">
                        <a16:creationId xmlns:a16="http://schemas.microsoft.com/office/drawing/2014/main" id="{00000000-0008-0000-0200-000037000000}"/>
                      </a:ext>
                    </a:extLst>
                  </xdr:cNvPr>
                  <xdr:cNvCxnSpPr/>
                </xdr:nvCxnSpPr>
                <xdr:spPr>
                  <a:xfrm>
                    <a:off x="7136969" y="6066746"/>
                    <a:ext cx="467067" cy="0"/>
                  </a:xfrm>
                  <a:prstGeom prst="line">
                    <a:avLst/>
                  </a:prstGeom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56" name="Straight Connector 55">
                    <a:extLst>
                      <a:ext uri="{FF2B5EF4-FFF2-40B4-BE49-F238E27FC236}">
                        <a16:creationId xmlns:a16="http://schemas.microsoft.com/office/drawing/2014/main" id="{00000000-0008-0000-0200-000038000000}"/>
                      </a:ext>
                    </a:extLst>
                  </xdr:cNvPr>
                  <xdr:cNvCxnSpPr/>
                </xdr:nvCxnSpPr>
                <xdr:spPr>
                  <a:xfrm>
                    <a:off x="7232289" y="2546587"/>
                    <a:ext cx="962730" cy="1022085"/>
                  </a:xfrm>
                  <a:prstGeom prst="line">
                    <a:avLst/>
                  </a:prstGeom>
                  <a:ln w="28575"/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57" name="Straight Connector 56">
                    <a:extLst>
                      <a:ext uri="{FF2B5EF4-FFF2-40B4-BE49-F238E27FC236}">
                        <a16:creationId xmlns:a16="http://schemas.microsoft.com/office/drawing/2014/main" id="{00000000-0008-0000-0200-000039000000}"/>
                      </a:ext>
                    </a:extLst>
                  </xdr:cNvPr>
                  <xdr:cNvCxnSpPr/>
                </xdr:nvCxnSpPr>
                <xdr:spPr>
                  <a:xfrm flipV="1">
                    <a:off x="7194161" y="2200603"/>
                    <a:ext cx="314555" cy="288849"/>
                  </a:xfrm>
                  <a:prstGeom prst="line">
                    <a:avLst/>
                  </a:prstGeom>
                  <a:ln w="28575"/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sp macro="" textlink="">
                <xdr:nvSpPr>
                  <xdr:cNvPr id="58" name="Oval 57">
                    <a:extLst>
                      <a:ext uri="{FF2B5EF4-FFF2-40B4-BE49-F238E27FC236}">
                        <a16:creationId xmlns:a16="http://schemas.microsoft.com/office/drawing/2014/main" id="{00000000-0008-0000-0200-00003A000000}"/>
                      </a:ext>
                    </a:extLst>
                  </xdr:cNvPr>
                  <xdr:cNvSpPr/>
                </xdr:nvSpPr>
                <xdr:spPr>
                  <a:xfrm>
                    <a:off x="6698498" y="2099028"/>
                    <a:ext cx="2964446" cy="2790099"/>
                  </a:xfrm>
                  <a:prstGeom prst="ellipse">
                    <a:avLst/>
                  </a:prstGeom>
                  <a:noFill/>
                  <a:ln w="9525"/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l"/>
                    <a:endParaRPr lang="en-US" sz="1100"/>
                  </a:p>
                </xdr:txBody>
              </xdr:sp>
              <xdr:sp macro="" textlink="">
                <xdr:nvSpPr>
                  <xdr:cNvPr id="47" name="TextBox 46">
                    <a:extLst>
                      <a:ext uri="{FF2B5EF4-FFF2-40B4-BE49-F238E27FC236}">
                        <a16:creationId xmlns:a16="http://schemas.microsoft.com/office/drawing/2014/main" id="{00000000-0008-0000-0200-00002F000000}"/>
                      </a:ext>
                    </a:extLst>
                  </xdr:cNvPr>
                  <xdr:cNvSpPr txBox="1"/>
                </xdr:nvSpPr>
                <xdr:spPr>
                  <a:xfrm>
                    <a:off x="7461056" y="3914655"/>
                    <a:ext cx="486131" cy="307895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t"/>
                  <a:lstStyle/>
                  <a:p>
                    <a:r>
                      <a:rPr lang="en-US" sz="1600" b="1"/>
                      <a:t>C</a:t>
                    </a:r>
                  </a:p>
                </xdr:txBody>
              </xdr:sp>
            </xdr:grpSp>
            <xdr:cxnSp macro="">
              <xdr:nvCxnSpPr>
                <xdr:cNvPr id="46" name="Straight Connector 45">
                  <a:extLst>
                    <a:ext uri="{FF2B5EF4-FFF2-40B4-BE49-F238E27FC236}">
                      <a16:creationId xmlns:a16="http://schemas.microsoft.com/office/drawing/2014/main" id="{00000000-0008-0000-0200-00002E000000}"/>
                    </a:ext>
                  </a:extLst>
                </xdr:cNvPr>
                <xdr:cNvCxnSpPr/>
              </xdr:nvCxnSpPr>
              <xdr:spPr>
                <a:xfrm flipV="1">
                  <a:off x="6720887" y="3559148"/>
                  <a:ext cx="1464600" cy="964950"/>
                </a:xfrm>
                <a:prstGeom prst="line">
                  <a:avLst/>
                </a:prstGeom>
                <a:ln w="28575"/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</xdr:grpSp>
          <xdr:cxnSp macro="">
            <xdr:nvCxnSpPr>
              <xdr:cNvPr id="44" name="Straight Connector 43">
                <a:extLst>
                  <a:ext uri="{FF2B5EF4-FFF2-40B4-BE49-F238E27FC236}">
                    <a16:creationId xmlns:a16="http://schemas.microsoft.com/office/drawing/2014/main" id="{00000000-0008-0000-0200-00002C000000}"/>
                  </a:ext>
                </a:extLst>
              </xdr:cNvPr>
              <xdr:cNvCxnSpPr/>
            </xdr:nvCxnSpPr>
            <xdr:spPr>
              <a:xfrm flipH="1" flipV="1">
                <a:off x="6730483" y="4553881"/>
                <a:ext cx="11299" cy="374553"/>
              </a:xfrm>
              <a:prstGeom prst="line">
                <a:avLst/>
              </a:prstGeom>
              <a:ln w="28575"/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99" name="TextBox 98">
              <a:extLst>
                <a:ext uri="{FF2B5EF4-FFF2-40B4-BE49-F238E27FC236}">
                  <a16:creationId xmlns:a16="http://schemas.microsoft.com/office/drawing/2014/main" id="{00000000-0008-0000-0200-000063000000}"/>
                </a:ext>
              </a:extLst>
            </xdr:cNvPr>
            <xdr:cNvSpPr txBox="1"/>
          </xdr:nvSpPr>
          <xdr:spPr>
            <a:xfrm>
              <a:off x="8265584" y="2638778"/>
              <a:ext cx="239889" cy="29986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US" sz="1600" b="1"/>
                <a:t>F</a:t>
              </a:r>
            </a:p>
          </xdr:txBody>
        </xdr:sp>
        <xdr:sp macro="" textlink="">
          <xdr:nvSpPr>
            <xdr:cNvPr id="100" name="TextBox 99">
              <a:extLst>
                <a:ext uri="{FF2B5EF4-FFF2-40B4-BE49-F238E27FC236}">
                  <a16:creationId xmlns:a16="http://schemas.microsoft.com/office/drawing/2014/main" id="{00000000-0008-0000-0200-000064000000}"/>
                </a:ext>
              </a:extLst>
            </xdr:cNvPr>
            <xdr:cNvSpPr txBox="1"/>
          </xdr:nvSpPr>
          <xdr:spPr>
            <a:xfrm>
              <a:off x="8798279" y="3478389"/>
              <a:ext cx="239889" cy="27516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US" sz="1600" b="1"/>
                <a:t>E</a:t>
              </a:r>
            </a:p>
          </xdr:txBody>
        </xdr:sp>
      </xdr:grpSp>
      <xdr:cxnSp macro="">
        <xdr:nvCxnSpPr>
          <xdr:cNvPr id="103" name="Straight Connector 102">
            <a:extLst>
              <a:ext uri="{FF2B5EF4-FFF2-40B4-BE49-F238E27FC236}">
                <a16:creationId xmlns:a16="http://schemas.microsoft.com/office/drawing/2014/main" id="{00000000-0008-0000-0200-000067000000}"/>
              </a:ext>
            </a:extLst>
          </xdr:cNvPr>
          <xdr:cNvCxnSpPr/>
        </xdr:nvCxnSpPr>
        <xdr:spPr>
          <a:xfrm>
            <a:off x="9705975" y="4451350"/>
            <a:ext cx="295275" cy="336550"/>
          </a:xfrm>
          <a:prstGeom prst="line">
            <a:avLst/>
          </a:prstGeom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4" name="TextBox 103">
            <a:extLst>
              <a:ext uri="{FF2B5EF4-FFF2-40B4-BE49-F238E27FC236}">
                <a16:creationId xmlns:a16="http://schemas.microsoft.com/office/drawing/2014/main" id="{00000000-0008-0000-0200-000068000000}"/>
              </a:ext>
            </a:extLst>
          </xdr:cNvPr>
          <xdr:cNvSpPr txBox="1"/>
        </xdr:nvSpPr>
        <xdr:spPr>
          <a:xfrm>
            <a:off x="9918700" y="4711700"/>
            <a:ext cx="342900" cy="3270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600" b="1"/>
              <a:t>G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1571625</xdr:colOff>
      <xdr:row>46</xdr:row>
      <xdr:rowOff>47625</xdr:rowOff>
    </xdr:from>
    <xdr:to>
      <xdr:col>4</xdr:col>
      <xdr:colOff>323850</xdr:colOff>
      <xdr:row>53</xdr:row>
      <xdr:rowOff>47625</xdr:rowOff>
    </xdr:to>
    <xdr:sp macro="" textlink="">
      <xdr:nvSpPr>
        <xdr:cNvPr id="2" name="Picture 4" descr="MI750PolarBase2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4876800" y="9858375"/>
          <a:ext cx="1190625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387349</xdr:colOff>
      <xdr:row>15</xdr:row>
      <xdr:rowOff>120649</xdr:rowOff>
    </xdr:from>
    <xdr:to>
      <xdr:col>18</xdr:col>
      <xdr:colOff>425449</xdr:colOff>
      <xdr:row>53</xdr:row>
      <xdr:rowOff>109311</xdr:rowOff>
    </xdr:to>
    <xdr:grpSp>
      <xdr:nvGrpSpPr>
        <xdr:cNvPr id="22" name="Group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GrpSpPr/>
      </xdr:nvGrpSpPr>
      <xdr:grpSpPr>
        <a:xfrm>
          <a:off x="6369956" y="2964542"/>
          <a:ext cx="8547100" cy="7091590"/>
          <a:chOff x="6383563" y="3032578"/>
          <a:chExt cx="8547100" cy="7164162"/>
        </a:xfrm>
      </xdr:grpSpPr>
      <xdr:grpSp>
        <xdr:nvGrpSpPr>
          <xdr:cNvPr id="21" name="Group 20">
            <a:extLst>
              <a:ext uri="{FF2B5EF4-FFF2-40B4-BE49-F238E27FC236}">
                <a16:creationId xmlns:a16="http://schemas.microsoft.com/office/drawing/2014/main" id="{00000000-0008-0000-0300-000015000000}"/>
              </a:ext>
            </a:extLst>
          </xdr:cNvPr>
          <xdr:cNvGrpSpPr/>
        </xdr:nvGrpSpPr>
        <xdr:grpSpPr>
          <a:xfrm>
            <a:off x="6383563" y="3032578"/>
            <a:ext cx="8547100" cy="7164162"/>
            <a:chOff x="6320064" y="2388506"/>
            <a:chExt cx="8547100" cy="7164162"/>
          </a:xfrm>
        </xdr:grpSpPr>
        <xdr:cxnSp macro="">
          <xdr:nvCxnSpPr>
            <xdr:cNvPr id="10" name="Straight Connector 9">
              <a:extLst>
                <a:ext uri="{FF2B5EF4-FFF2-40B4-BE49-F238E27FC236}">
                  <a16:creationId xmlns:a16="http://schemas.microsoft.com/office/drawing/2014/main" id="{00000000-0008-0000-0300-00000A000000}"/>
                </a:ext>
              </a:extLst>
            </xdr:cNvPr>
            <xdr:cNvCxnSpPr/>
          </xdr:nvCxnSpPr>
          <xdr:spPr>
            <a:xfrm flipV="1">
              <a:off x="10887075" y="8769351"/>
              <a:ext cx="2945493" cy="38099"/>
            </a:xfrm>
            <a:prstGeom prst="line">
              <a:avLst/>
            </a:prstGeom>
            <a:ln w="28575">
              <a:solidFill>
                <a:sysClr val="windowText" lastClr="0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6" name="Straight Arrow Connector 15">
              <a:extLst>
                <a:ext uri="{FF2B5EF4-FFF2-40B4-BE49-F238E27FC236}">
                  <a16:creationId xmlns:a16="http://schemas.microsoft.com/office/drawing/2014/main" id="{00000000-0008-0000-0300-000010000000}"/>
                </a:ext>
              </a:extLst>
            </xdr:cNvPr>
            <xdr:cNvCxnSpPr/>
          </xdr:nvCxnSpPr>
          <xdr:spPr>
            <a:xfrm>
              <a:off x="11590111" y="8492671"/>
              <a:ext cx="0" cy="314779"/>
            </a:xfrm>
            <a:prstGeom prst="straightConnector1">
              <a:avLst/>
            </a:prstGeom>
            <a:ln>
              <a:solidFill>
                <a:srgbClr val="FF0000"/>
              </a:solidFill>
              <a:headEnd type="arrow"/>
              <a:tailEnd type="arrow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40" name="Straight Arrow Connector 39">
              <a:extLst>
                <a:ext uri="{FF2B5EF4-FFF2-40B4-BE49-F238E27FC236}">
                  <a16:creationId xmlns:a16="http://schemas.microsoft.com/office/drawing/2014/main" id="{00000000-0008-0000-0300-000028000000}"/>
                </a:ext>
              </a:extLst>
            </xdr:cNvPr>
            <xdr:cNvCxnSpPr>
              <a:endCxn id="61" idx="1"/>
            </xdr:cNvCxnSpPr>
          </xdr:nvCxnSpPr>
          <xdr:spPr>
            <a:xfrm>
              <a:off x="11580586" y="7527925"/>
              <a:ext cx="1" cy="1131888"/>
            </a:xfrm>
            <a:prstGeom prst="straightConnector1">
              <a:avLst/>
            </a:prstGeom>
            <a:ln w="6350">
              <a:solidFill>
                <a:srgbClr val="FF0000"/>
              </a:solidFill>
              <a:prstDash val="solid"/>
              <a:tailEnd type="arrow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grpSp>
          <xdr:nvGrpSpPr>
            <xdr:cNvPr id="20" name="Group 19">
              <a:extLst>
                <a:ext uri="{FF2B5EF4-FFF2-40B4-BE49-F238E27FC236}">
                  <a16:creationId xmlns:a16="http://schemas.microsoft.com/office/drawing/2014/main" id="{00000000-0008-0000-0300-000014000000}"/>
                </a:ext>
              </a:extLst>
            </xdr:cNvPr>
            <xdr:cNvGrpSpPr/>
          </xdr:nvGrpSpPr>
          <xdr:grpSpPr>
            <a:xfrm>
              <a:off x="6320064" y="2388506"/>
              <a:ext cx="8547100" cy="7164162"/>
              <a:chOff x="6320064" y="2388506"/>
              <a:chExt cx="8547100" cy="7164162"/>
            </a:xfrm>
          </xdr:grpSpPr>
          <xdr:cxnSp macro="">
            <xdr:nvCxnSpPr>
              <xdr:cNvPr id="38" name="Straight Connector 37">
                <a:extLst>
                  <a:ext uri="{FF2B5EF4-FFF2-40B4-BE49-F238E27FC236}">
                    <a16:creationId xmlns:a16="http://schemas.microsoft.com/office/drawing/2014/main" id="{00000000-0008-0000-0300-000026000000}"/>
                  </a:ext>
                </a:extLst>
              </xdr:cNvPr>
              <xdr:cNvCxnSpPr/>
            </xdr:nvCxnSpPr>
            <xdr:spPr>
              <a:xfrm>
                <a:off x="10906125" y="8483146"/>
                <a:ext cx="950686" cy="0"/>
              </a:xfrm>
              <a:prstGeom prst="line">
                <a:avLst/>
              </a:prstGeom>
              <a:ln>
                <a:solidFill>
                  <a:srgbClr val="FF0000"/>
                </a:solidFill>
                <a:prstDash val="dash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59" name="Rectangle 5">
                <a:extLst>
                  <a:ext uri="{FF2B5EF4-FFF2-40B4-BE49-F238E27FC236}">
                    <a16:creationId xmlns:a16="http://schemas.microsoft.com/office/drawing/2014/main" id="{00000000-0008-0000-0300-00003B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9330418" y="8530771"/>
                <a:ext cx="1387021" cy="267154"/>
              </a:xfrm>
              <a:prstGeom prst="rect">
                <a:avLst/>
              </a:prstGeom>
              <a:solidFill>
                <a:schemeClr val="bg1">
                  <a:lumMod val="75000"/>
                </a:schemeClr>
              </a:solidFill>
              <a:ln w="952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grpSp>
            <xdr:nvGrpSpPr>
              <xdr:cNvPr id="18" name="Group 17">
                <a:extLst>
                  <a:ext uri="{FF2B5EF4-FFF2-40B4-BE49-F238E27FC236}">
                    <a16:creationId xmlns:a16="http://schemas.microsoft.com/office/drawing/2014/main" id="{00000000-0008-0000-0300-000012000000}"/>
                  </a:ext>
                </a:extLst>
              </xdr:cNvPr>
              <xdr:cNvGrpSpPr/>
            </xdr:nvGrpSpPr>
            <xdr:grpSpPr>
              <a:xfrm>
                <a:off x="6320064" y="2388506"/>
                <a:ext cx="8547100" cy="7164162"/>
                <a:chOff x="6320064" y="2388506"/>
                <a:chExt cx="8547100" cy="7164162"/>
              </a:xfrm>
            </xdr:grpSpPr>
            <xdr:cxnSp macro="">
              <xdr:nvCxnSpPr>
                <xdr:cNvPr id="9" name="Straight Connector 8">
                  <a:extLst>
                    <a:ext uri="{FF2B5EF4-FFF2-40B4-BE49-F238E27FC236}">
                      <a16:creationId xmlns:a16="http://schemas.microsoft.com/office/drawing/2014/main" id="{00000000-0008-0000-0300-000009000000}"/>
                    </a:ext>
                  </a:extLst>
                </xdr:cNvPr>
                <xdr:cNvCxnSpPr/>
              </xdr:nvCxnSpPr>
              <xdr:spPr>
                <a:xfrm>
                  <a:off x="6320064" y="8769350"/>
                  <a:ext cx="2819854" cy="19050"/>
                </a:xfrm>
                <a:prstGeom prst="line">
                  <a:avLst/>
                </a:prstGeom>
                <a:ln w="28575">
                  <a:solidFill>
                    <a:sysClr val="windowText" lastClr="000000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grpSp>
              <xdr:nvGrpSpPr>
                <xdr:cNvPr id="17" name="Group 16">
                  <a:extLst>
                    <a:ext uri="{FF2B5EF4-FFF2-40B4-BE49-F238E27FC236}">
                      <a16:creationId xmlns:a16="http://schemas.microsoft.com/office/drawing/2014/main" id="{00000000-0008-0000-0300-000011000000}"/>
                    </a:ext>
                  </a:extLst>
                </xdr:cNvPr>
                <xdr:cNvGrpSpPr/>
              </xdr:nvGrpSpPr>
              <xdr:grpSpPr>
                <a:xfrm>
                  <a:off x="6328413" y="2388506"/>
                  <a:ext cx="8538751" cy="7164162"/>
                  <a:chOff x="6328413" y="2388506"/>
                  <a:chExt cx="8538751" cy="7164162"/>
                </a:xfrm>
              </xdr:grpSpPr>
              <xdr:cxnSp macro="">
                <xdr:nvCxnSpPr>
                  <xdr:cNvPr id="7" name="Straight Connector 6">
                    <a:extLst>
                      <a:ext uri="{FF2B5EF4-FFF2-40B4-BE49-F238E27FC236}">
                        <a16:creationId xmlns:a16="http://schemas.microsoft.com/office/drawing/2014/main" id="{00000000-0008-0000-0300-000007000000}"/>
                      </a:ext>
                    </a:extLst>
                  </xdr:cNvPr>
                  <xdr:cNvCxnSpPr/>
                </xdr:nvCxnSpPr>
                <xdr:spPr>
                  <a:xfrm flipH="1">
                    <a:off x="6328413" y="5785529"/>
                    <a:ext cx="20230" cy="2964771"/>
                  </a:xfrm>
                  <a:prstGeom prst="line">
                    <a:avLst/>
                  </a:prstGeom>
                  <a:ln w="28575">
                    <a:solidFill>
                      <a:sysClr val="windowText" lastClr="000000"/>
                    </a:solidFill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39" name="Straight Arrow Connector 38">
                    <a:extLst>
                      <a:ext uri="{FF2B5EF4-FFF2-40B4-BE49-F238E27FC236}">
                        <a16:creationId xmlns:a16="http://schemas.microsoft.com/office/drawing/2014/main" id="{00000000-0008-0000-0300-000027000000}"/>
                      </a:ext>
                    </a:extLst>
                  </xdr:cNvPr>
                  <xdr:cNvCxnSpPr/>
                </xdr:nvCxnSpPr>
                <xdr:spPr>
                  <a:xfrm flipV="1">
                    <a:off x="11590112" y="5790294"/>
                    <a:ext cx="1" cy="1241424"/>
                  </a:xfrm>
                  <a:prstGeom prst="straightConnector1">
                    <a:avLst/>
                  </a:prstGeom>
                  <a:ln>
                    <a:solidFill>
                      <a:srgbClr val="FF0000"/>
                    </a:solidFill>
                    <a:prstDash val="solid"/>
                    <a:tailEnd type="arrow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50" name="Straight Connector 49">
                    <a:extLst>
                      <a:ext uri="{FF2B5EF4-FFF2-40B4-BE49-F238E27FC236}">
                        <a16:creationId xmlns:a16="http://schemas.microsoft.com/office/drawing/2014/main" id="{00000000-0008-0000-0300-000032000000}"/>
                      </a:ext>
                    </a:extLst>
                  </xdr:cNvPr>
                  <xdr:cNvCxnSpPr/>
                </xdr:nvCxnSpPr>
                <xdr:spPr>
                  <a:xfrm>
                    <a:off x="10033454" y="5799818"/>
                    <a:ext cx="1947182" cy="0"/>
                  </a:xfrm>
                  <a:prstGeom prst="line">
                    <a:avLst/>
                  </a:prstGeom>
                  <a:ln>
                    <a:solidFill>
                      <a:srgbClr val="FF0000"/>
                    </a:solidFill>
                    <a:prstDash val="dash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sp macro="" textlink="">
                <xdr:nvSpPr>
                  <xdr:cNvPr id="60" name="TextBox 59">
                    <a:extLst>
                      <a:ext uri="{FF2B5EF4-FFF2-40B4-BE49-F238E27FC236}">
                        <a16:creationId xmlns:a16="http://schemas.microsoft.com/office/drawing/2014/main" id="{00000000-0008-0000-0300-00003C000000}"/>
                      </a:ext>
                    </a:extLst>
                  </xdr:cNvPr>
                  <xdr:cNvSpPr txBox="1"/>
                </xdr:nvSpPr>
                <xdr:spPr>
                  <a:xfrm>
                    <a:off x="9435193" y="8530771"/>
                    <a:ext cx="1432832" cy="248104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wrap="square" rtlCol="0" anchor="t"/>
                  <a:lstStyle/>
                  <a:p>
                    <a:r>
                      <a:rPr lang="en-US" sz="1400">
                        <a:solidFill>
                          <a:srgbClr val="FF0000"/>
                        </a:solidFill>
                      </a:rPr>
                      <a:t>Optional</a:t>
                    </a:r>
                    <a:r>
                      <a:rPr lang="en-US" sz="1400" baseline="0">
                        <a:solidFill>
                          <a:srgbClr val="FF0000"/>
                        </a:solidFill>
                      </a:rPr>
                      <a:t> </a:t>
                    </a:r>
                    <a:r>
                      <a:rPr lang="en-US" sz="1400">
                        <a:solidFill>
                          <a:srgbClr val="FF0000"/>
                        </a:solidFill>
                      </a:rPr>
                      <a:t>Pier</a:t>
                    </a:r>
                    <a:endParaRPr lang="en-US" sz="1000">
                      <a:solidFill>
                        <a:srgbClr val="FF0000"/>
                      </a:solidFill>
                    </a:endParaRPr>
                  </a:p>
                </xdr:txBody>
              </xdr:sp>
              <xdr:grpSp>
                <xdr:nvGrpSpPr>
                  <xdr:cNvPr id="15" name="Group 14">
                    <a:extLst>
                      <a:ext uri="{FF2B5EF4-FFF2-40B4-BE49-F238E27FC236}">
                        <a16:creationId xmlns:a16="http://schemas.microsoft.com/office/drawing/2014/main" id="{00000000-0008-0000-0300-00000F000000}"/>
                      </a:ext>
                    </a:extLst>
                  </xdr:cNvPr>
                  <xdr:cNvGrpSpPr/>
                </xdr:nvGrpSpPr>
                <xdr:grpSpPr>
                  <a:xfrm>
                    <a:off x="6348640" y="2388506"/>
                    <a:ext cx="8518524" cy="7164162"/>
                    <a:chOff x="6348640" y="2388506"/>
                    <a:chExt cx="8518524" cy="7164162"/>
                  </a:xfrm>
                </xdr:grpSpPr>
                <xdr:sp macro="" textlink="">
                  <xdr:nvSpPr>
                    <xdr:cNvPr id="6" name="Oval 5">
                      <a:extLst>
                        <a:ext uri="{FF2B5EF4-FFF2-40B4-BE49-F238E27FC236}">
                          <a16:creationId xmlns:a16="http://schemas.microsoft.com/office/drawing/2014/main" id="{00000000-0008-0000-0300-000006000000}"/>
                        </a:ext>
                      </a:extLst>
                    </xdr:cNvPr>
                    <xdr:cNvSpPr/>
                  </xdr:nvSpPr>
                  <xdr:spPr>
                    <a:xfrm>
                      <a:off x="6348640" y="2388506"/>
                      <a:ext cx="7483929" cy="6581322"/>
                    </a:xfrm>
                    <a:prstGeom prst="ellipse">
                      <a:avLst/>
                    </a:prstGeom>
                    <a:noFill/>
                    <a:ln w="6350">
                      <a:solidFill>
                        <a:schemeClr val="tx1"/>
                      </a:solidFill>
                      <a:prstDash val="lgDash"/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rtlCol="0" anchor="ctr"/>
                    <a:lstStyle/>
                    <a:p>
                      <a:endParaRPr lang="en-US"/>
                    </a:p>
                  </xdr:txBody>
                </xdr:sp>
                <xdr:sp macro="" textlink="">
                  <xdr:nvSpPr>
                    <xdr:cNvPr id="11" name="Rectangle 10">
                      <a:extLst>
                        <a:ext uri="{FF2B5EF4-FFF2-40B4-BE49-F238E27FC236}">
                          <a16:creationId xmlns:a16="http://schemas.microsoft.com/office/drawing/2014/main" id="{00000000-0008-0000-0300-00000B000000}"/>
                        </a:ext>
                      </a:extLst>
                    </xdr:cNvPr>
                    <xdr:cNvSpPr/>
                  </xdr:nvSpPr>
                  <xdr:spPr>
                    <a:xfrm>
                      <a:off x="9206593" y="8807450"/>
                      <a:ext cx="1625146" cy="745218"/>
                    </a:xfrm>
                    <a:prstGeom prst="rect">
                      <a:avLst/>
                    </a:prstGeom>
                    <a:solidFill>
                      <a:schemeClr val="bg1">
                        <a:lumMod val="85000"/>
                      </a:schemeClr>
                    </a:solidFill>
                    <a:ln w="9525">
                      <a:solidFill>
                        <a:sysClr val="windowText" lastClr="000000"/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vertOverflow="clip" rtlCol="0" anchor="ctr"/>
                    <a:lstStyle/>
                    <a:p>
                      <a:endParaRPr lang="en-US"/>
                    </a:p>
                  </xdr:txBody>
                </xdr:sp>
                <xdr:grpSp>
                  <xdr:nvGrpSpPr>
                    <xdr:cNvPr id="4" name="Group 3">
                      <a:extLst>
                        <a:ext uri="{FF2B5EF4-FFF2-40B4-BE49-F238E27FC236}">
                          <a16:creationId xmlns:a16="http://schemas.microsoft.com/office/drawing/2014/main" id="{00000000-0008-0000-0300-000004000000}"/>
                        </a:ext>
                      </a:extLst>
                    </xdr:cNvPr>
                    <xdr:cNvGrpSpPr/>
                  </xdr:nvGrpSpPr>
                  <xdr:grpSpPr>
                    <a:xfrm>
                      <a:off x="6765925" y="3016704"/>
                      <a:ext cx="8101239" cy="5810250"/>
                      <a:chOff x="6765925" y="3016704"/>
                      <a:chExt cx="8101239" cy="5810250"/>
                    </a:xfrm>
                  </xdr:grpSpPr>
                  <xdr:sp macro="" textlink="">
                    <xdr:nvSpPr>
                      <xdr:cNvPr id="13" name="TextBox 12">
                        <a:extLst>
                          <a:ext uri="{FF2B5EF4-FFF2-40B4-BE49-F238E27FC236}">
                            <a16:creationId xmlns:a16="http://schemas.microsoft.com/office/drawing/2014/main" id="{00000000-0008-0000-0300-00000D000000}"/>
                          </a:ext>
                        </a:extLst>
                      </xdr:cNvPr>
                      <xdr:cNvSpPr txBox="1"/>
                    </xdr:nvSpPr>
                    <xdr:spPr>
                      <a:xfrm>
                        <a:off x="14326054" y="7079343"/>
                        <a:ext cx="541110" cy="429532"/>
                      </a:xfrm>
                      <a:prstGeom prst="rect">
                        <a:avLst/>
                      </a:prstGeom>
                      <a:noFill/>
                      <a:ln w="9525" cmpd="sng">
                        <a:noFill/>
                      </a:ln>
                    </xdr:spPr>
                    <xdr:style>
                      <a:lnRef idx="0">
                        <a:scrgbClr r="0" g="0" b="0"/>
                      </a:lnRef>
                      <a:fillRef idx="0">
                        <a:scrgbClr r="0" g="0" b="0"/>
                      </a:fillRef>
                      <a:effectRef idx="0">
                        <a:scrgbClr r="0" g="0" b="0"/>
                      </a:effectRef>
                      <a:fontRef idx="minor">
                        <a:schemeClr val="dk1"/>
                      </a:fontRef>
                    </xdr:style>
                    <xdr:txBody>
                      <a:bodyPr vertOverflow="clip" wrap="square" rtlCol="0" anchor="t"/>
                      <a:lstStyle/>
                      <a:p>
                        <a:r>
                          <a:rPr lang="en-US" sz="1800">
                            <a:solidFill>
                              <a:srgbClr val="FF0000"/>
                            </a:solidFill>
                          </a:rPr>
                          <a:t>h</a:t>
                        </a:r>
                        <a:endParaRPr lang="en-US" sz="1100">
                          <a:solidFill>
                            <a:srgbClr val="FF0000"/>
                          </a:solidFill>
                        </a:endParaRPr>
                      </a:p>
                    </xdr:txBody>
                  </xdr:sp>
                  <xdr:sp macro="" textlink="">
                    <xdr:nvSpPr>
                      <xdr:cNvPr id="14" name="TextBox 13">
                        <a:extLst>
                          <a:ext uri="{FF2B5EF4-FFF2-40B4-BE49-F238E27FC236}">
                            <a16:creationId xmlns:a16="http://schemas.microsoft.com/office/drawing/2014/main" id="{00000000-0008-0000-0300-00000E000000}"/>
                          </a:ext>
                        </a:extLst>
                      </xdr:cNvPr>
                      <xdr:cNvSpPr txBox="1"/>
                    </xdr:nvSpPr>
                    <xdr:spPr>
                      <a:xfrm>
                        <a:off x="8324396" y="4596946"/>
                        <a:ext cx="541111" cy="420008"/>
                      </a:xfrm>
                      <a:prstGeom prst="rect">
                        <a:avLst/>
                      </a:prstGeom>
                      <a:noFill/>
                      <a:ln w="9525" cmpd="sng">
                        <a:noFill/>
                      </a:ln>
                    </xdr:spPr>
                    <xdr:style>
                      <a:lnRef idx="0">
                        <a:scrgbClr r="0" g="0" b="0"/>
                      </a:lnRef>
                      <a:fillRef idx="0">
                        <a:scrgbClr r="0" g="0" b="0"/>
                      </a:fillRef>
                      <a:effectRef idx="0">
                        <a:scrgbClr r="0" g="0" b="0"/>
                      </a:effectRef>
                      <a:fontRef idx="minor">
                        <a:schemeClr val="dk1"/>
                      </a:fontRef>
                    </xdr:style>
                    <xdr:txBody>
                      <a:bodyPr vertOverflow="clip" wrap="square" rtlCol="0" anchor="t"/>
                      <a:lstStyle/>
                      <a:p>
                        <a:r>
                          <a:rPr lang="en-US" sz="1800">
                            <a:solidFill>
                              <a:srgbClr val="FF0000"/>
                            </a:solidFill>
                          </a:rPr>
                          <a:t>R</a:t>
                        </a:r>
                        <a:endParaRPr lang="en-US" sz="1100">
                          <a:solidFill>
                            <a:srgbClr val="FF0000"/>
                          </a:solidFill>
                        </a:endParaRPr>
                      </a:p>
                    </xdr:txBody>
                  </xdr:sp>
                  <xdr:sp macro="" textlink="">
                    <xdr:nvSpPr>
                      <xdr:cNvPr id="19" name="TextBox 18">
                        <a:extLst>
                          <a:ext uri="{FF2B5EF4-FFF2-40B4-BE49-F238E27FC236}">
                            <a16:creationId xmlns:a16="http://schemas.microsoft.com/office/drawing/2014/main" id="{00000000-0008-0000-0300-000013000000}"/>
                          </a:ext>
                        </a:extLst>
                      </xdr:cNvPr>
                      <xdr:cNvSpPr txBox="1"/>
                    </xdr:nvSpPr>
                    <xdr:spPr>
                      <a:xfrm>
                        <a:off x="11430000" y="7031718"/>
                        <a:ext cx="541111" cy="353332"/>
                      </a:xfrm>
                      <a:prstGeom prst="rect">
                        <a:avLst/>
                      </a:prstGeom>
                      <a:noFill/>
                      <a:ln w="9525" cmpd="sng">
                        <a:noFill/>
                      </a:ln>
                    </xdr:spPr>
                    <xdr:style>
                      <a:lnRef idx="0">
                        <a:scrgbClr r="0" g="0" b="0"/>
                      </a:lnRef>
                      <a:fillRef idx="0">
                        <a:scrgbClr r="0" g="0" b="0"/>
                      </a:fillRef>
                      <a:effectRef idx="0">
                        <a:scrgbClr r="0" g="0" b="0"/>
                      </a:effectRef>
                      <a:fontRef idx="minor">
                        <a:schemeClr val="dk1"/>
                      </a:fontRef>
                    </xdr:style>
                    <xdr:txBody>
                      <a:bodyPr vertOverflow="clip" wrap="square" rtlCol="0" anchor="t"/>
                      <a:lstStyle/>
                      <a:p>
                        <a:r>
                          <a:rPr lang="en-US" sz="1800">
                            <a:solidFill>
                              <a:srgbClr val="FF0000"/>
                            </a:solidFill>
                          </a:rPr>
                          <a:t>A</a:t>
                        </a:r>
                        <a:endParaRPr lang="en-US" sz="1100">
                          <a:solidFill>
                            <a:srgbClr val="FF0000"/>
                          </a:solidFill>
                        </a:endParaRPr>
                      </a:p>
                    </xdr:txBody>
                  </xdr:sp>
                  <xdr:grpSp>
                    <xdr:nvGrpSpPr>
                      <xdr:cNvPr id="3" name="Group 2">
                        <a:extLst>
                          <a:ext uri="{FF2B5EF4-FFF2-40B4-BE49-F238E27FC236}">
                            <a16:creationId xmlns:a16="http://schemas.microsoft.com/office/drawing/2014/main" id="{00000000-0008-0000-0300-000003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6765925" y="3016704"/>
                        <a:ext cx="7531553" cy="5743120"/>
                        <a:chOff x="6765925" y="3016704"/>
                        <a:chExt cx="7531553" cy="5743120"/>
                      </a:xfrm>
                    </xdr:grpSpPr>
                    <xdr:sp macro="" textlink="">
                      <xdr:nvSpPr>
                        <xdr:cNvPr id="5" name="Oval 4">
                          <a:extLst>
                            <a:ext uri="{FF2B5EF4-FFF2-40B4-BE49-F238E27FC236}">
                              <a16:creationId xmlns:a16="http://schemas.microsoft.com/office/drawing/2014/main" id="{00000000-0008-0000-0300-000005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7156450" y="3016704"/>
                          <a:ext cx="5811157" cy="5370740"/>
                        </a:xfrm>
                        <a:prstGeom prst="ellipse">
                          <a:avLst/>
                        </a:prstGeom>
                        <a:noFill/>
                        <a:ln w="6350">
                          <a:prstDash val="lgDash"/>
                        </a:ln>
                      </xdr:spPr>
                      <xdr:style>
                        <a:lnRef idx="2">
                          <a:schemeClr val="accent1">
                            <a:shade val="50000"/>
                          </a:schemeClr>
                        </a:lnRef>
                        <a:fillRef idx="1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lt1"/>
                        </a:fontRef>
                      </xdr:style>
                      <xdr:txBody>
                        <a:bodyPr vertOverflow="clip" rtlCol="0" anchor="ctr"/>
                        <a:lstStyle/>
                        <a:p>
                          <a:endParaRPr lang="en-US"/>
                        </a:p>
                      </xdr:txBody>
                    </xdr:sp>
                    <xdr:cxnSp macro="">
                      <xdr:nvCxnSpPr>
                        <xdr:cNvPr id="8" name="Straight Connector 7">
                          <a:extLst>
                            <a:ext uri="{FF2B5EF4-FFF2-40B4-BE49-F238E27FC236}">
                              <a16:creationId xmlns:a16="http://schemas.microsoft.com/office/drawing/2014/main" id="{00000000-0008-0000-0300-000008000000}"/>
                            </a:ext>
                          </a:extLst>
                        </xdr:cNvPr>
                        <xdr:cNvCxnSpPr>
                          <a:stCxn id="6" idx="6"/>
                        </xdr:cNvCxnSpPr>
                      </xdr:nvCxnSpPr>
                      <xdr:spPr>
                        <a:xfrm flipH="1">
                          <a:off x="13813520" y="5727926"/>
                          <a:ext cx="19049" cy="3031898"/>
                        </a:xfrm>
                        <a:prstGeom prst="line">
                          <a:avLst/>
                        </a:prstGeom>
                        <a:ln w="28575">
                          <a:solidFill>
                            <a:sysClr val="windowText" lastClr="000000"/>
                          </a:solidFill>
                        </a:ln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  <xdr:cxnSp macro="">
                      <xdr:nvCxnSpPr>
                        <xdr:cNvPr id="12" name="Straight Arrow Connector 11">
                          <a:extLst>
                            <a:ext uri="{FF2B5EF4-FFF2-40B4-BE49-F238E27FC236}">
                              <a16:creationId xmlns:a16="http://schemas.microsoft.com/office/drawing/2014/main" id="{00000000-0008-0000-0300-00000C000000}"/>
                            </a:ext>
                          </a:extLst>
                        </xdr:cNvPr>
                        <xdr:cNvCxnSpPr/>
                      </xdr:nvCxnSpPr>
                      <xdr:spPr>
                        <a:xfrm rot="16200000" flipH="1">
                          <a:off x="12917714" y="7227207"/>
                          <a:ext cx="2750003" cy="9525"/>
                        </a:xfrm>
                        <a:prstGeom prst="straightConnector1">
                          <a:avLst/>
                        </a:prstGeom>
                        <a:ln>
                          <a:solidFill>
                            <a:srgbClr val="FF0000"/>
                          </a:solidFill>
                          <a:headEnd type="arrow"/>
                          <a:tailEnd type="arrow"/>
                        </a:ln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  <xdr:pic>
                      <xdr:nvPicPr>
                        <xdr:cNvPr id="44" name="Picture 43">
                          <a:extLst>
                            <a:ext uri="{FF2B5EF4-FFF2-40B4-BE49-F238E27FC236}">
                              <a16:creationId xmlns:a16="http://schemas.microsoft.com/office/drawing/2014/main" id="{00000000-0008-0000-0300-00002C000000}"/>
                            </a:ext>
                          </a:extLst>
                        </xdr:cNvPr>
                        <xdr:cNvPicPr>
                          <a:picLocks noChangeAspect="1" noChangeArrowheads="1"/>
                        </xdr:cNvPicPr>
                      </xdr:nvPicPr>
                      <xdr:blipFill>
                        <a:blip xmlns:r="http://schemas.openxmlformats.org/officeDocument/2006/relationships" r:embed="rId1" cstate="print">
                          <a:extLst>
                            <a:ext uri="{28A0092B-C50C-407E-A947-70E740481C1C}">
                              <a14:useLocalDpi xmlns:a14="http://schemas.microsoft.com/office/drawing/2010/main" val="0"/>
                            </a:ext>
                          </a:extLst>
                        </a:blip>
                        <a:srcRect/>
                        <a:stretch>
                          <a:fillRect/>
                        </a:stretch>
                      </xdr:blipFill>
                      <xdr:spPr bwMode="auto">
                        <a:xfrm>
                          <a:off x="8979807" y="3102429"/>
                          <a:ext cx="2116818" cy="5456917"/>
                        </a:xfrm>
                        <a:prstGeom prst="rect">
                          <a:avLst/>
                        </a:prstGeom>
                        <a:noFill/>
                        <a:extLst>
                          <a:ext uri="{909E8E84-426E-40DD-AFC4-6F175D3DCCD1}">
                            <a14:hiddenFill xmlns:a14="http://schemas.microsoft.com/office/drawing/2010/main">
                              <a:solidFill>
                                <a:srgbClr val="FFFFFF"/>
                              </a:solidFill>
                            </a14:hiddenFill>
                          </a:ext>
                        </a:extLst>
                      </xdr:spPr>
                    </xdr:pic>
                    <xdr:cxnSp macro="">
                      <xdr:nvCxnSpPr>
                        <xdr:cNvPr id="54" name="Straight Arrow Connector 53">
                          <a:extLst>
                            <a:ext uri="{FF2B5EF4-FFF2-40B4-BE49-F238E27FC236}">
                              <a16:creationId xmlns:a16="http://schemas.microsoft.com/office/drawing/2014/main" id="{00000000-0008-0000-0300-000036000000}"/>
                            </a:ext>
                          </a:extLst>
                        </xdr:cNvPr>
                        <xdr:cNvCxnSpPr/>
                      </xdr:nvCxnSpPr>
                      <xdr:spPr>
                        <a:xfrm flipH="1">
                          <a:off x="10033456" y="3188154"/>
                          <a:ext cx="939344" cy="2610370"/>
                        </a:xfrm>
                        <a:prstGeom prst="straightConnector1">
                          <a:avLst/>
                        </a:prstGeom>
                        <a:ln>
                          <a:solidFill>
                            <a:srgbClr val="FF0000"/>
                          </a:solidFill>
                          <a:headEnd type="arrow"/>
                          <a:tailEnd type="arrow"/>
                        </a:ln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  <xdr:cxnSp macro="">
                      <xdr:nvCxnSpPr>
                        <xdr:cNvPr id="57" name="Straight Arrow Connector 56">
                          <a:extLst>
                            <a:ext uri="{FF2B5EF4-FFF2-40B4-BE49-F238E27FC236}">
                              <a16:creationId xmlns:a16="http://schemas.microsoft.com/office/drawing/2014/main" id="{00000000-0008-0000-0300-000039000000}"/>
                            </a:ext>
                          </a:extLst>
                        </xdr:cNvPr>
                        <xdr:cNvCxnSpPr/>
                      </xdr:nvCxnSpPr>
                      <xdr:spPr>
                        <a:xfrm flipH="1" flipV="1">
                          <a:off x="6765925" y="4024993"/>
                          <a:ext cx="3280114" cy="1758623"/>
                        </a:xfrm>
                        <a:prstGeom prst="straightConnector1">
                          <a:avLst/>
                        </a:prstGeom>
                        <a:ln>
                          <a:solidFill>
                            <a:srgbClr val="FF0000"/>
                          </a:solidFill>
                          <a:headEnd type="arrow"/>
                          <a:tailEnd type="arrow"/>
                        </a:ln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</xdr:grpSp>
                  <xdr:sp macro="" textlink="">
                    <xdr:nvSpPr>
                      <xdr:cNvPr id="61" name="TextBox 60">
                        <a:extLst>
                          <a:ext uri="{FF2B5EF4-FFF2-40B4-BE49-F238E27FC236}">
                            <a16:creationId xmlns:a16="http://schemas.microsoft.com/office/drawing/2014/main" id="{00000000-0008-0000-0300-00003D000000}"/>
                          </a:ext>
                        </a:extLst>
                      </xdr:cNvPr>
                      <xdr:cNvSpPr txBox="1"/>
                    </xdr:nvSpPr>
                    <xdr:spPr>
                      <a:xfrm>
                        <a:off x="11580587" y="8492671"/>
                        <a:ext cx="569685" cy="334283"/>
                      </a:xfrm>
                      <a:prstGeom prst="rect">
                        <a:avLst/>
                      </a:prstGeom>
                      <a:noFill/>
                      <a:ln w="9525" cmpd="sng">
                        <a:noFill/>
                      </a:ln>
                    </xdr:spPr>
                    <xdr:style>
                      <a:lnRef idx="0">
                        <a:scrgbClr r="0" g="0" b="0"/>
                      </a:lnRef>
                      <a:fillRef idx="0">
                        <a:scrgbClr r="0" g="0" b="0"/>
                      </a:fillRef>
                      <a:effectRef idx="0">
                        <a:scrgbClr r="0" g="0" b="0"/>
                      </a:effectRef>
                      <a:fontRef idx="minor">
                        <a:schemeClr val="dk1"/>
                      </a:fontRef>
                    </xdr:style>
                    <xdr:txBody>
                      <a:bodyPr vertOverflow="clip" wrap="square" rtlCol="0" anchor="t"/>
                      <a:lstStyle/>
                      <a:p>
                        <a:r>
                          <a:rPr lang="en-US" sz="1800">
                            <a:solidFill>
                              <a:srgbClr val="FF0000"/>
                            </a:solidFill>
                          </a:rPr>
                          <a:t>C</a:t>
                        </a:r>
                        <a:endParaRPr lang="en-US" sz="1100">
                          <a:solidFill>
                            <a:srgbClr val="FF0000"/>
                          </a:solidFill>
                        </a:endParaRPr>
                      </a:p>
                    </xdr:txBody>
                  </xdr:sp>
                </xdr:grpSp>
              </xdr:grpSp>
            </xdr:grpSp>
          </xdr:grpSp>
        </xdr:grpSp>
      </xdr:grpSp>
      <xdr:sp macro="" textlink="">
        <xdr:nvSpPr>
          <xdr:cNvPr id="24" name="TextBox 23">
            <a:extLst>
              <a:ext uri="{FF2B5EF4-FFF2-40B4-BE49-F238E27FC236}">
                <a16:creationId xmlns:a16="http://schemas.microsoft.com/office/drawing/2014/main" id="{00000000-0008-0000-0300-000018000000}"/>
              </a:ext>
            </a:extLst>
          </xdr:cNvPr>
          <xdr:cNvSpPr txBox="1"/>
        </xdr:nvSpPr>
        <xdr:spPr>
          <a:xfrm>
            <a:off x="9652454" y="3425825"/>
            <a:ext cx="1415596" cy="43769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1400">
                <a:solidFill>
                  <a:sysClr val="windowText" lastClr="000000"/>
                </a:solidFill>
              </a:rPr>
              <a:t>Max</a:t>
            </a:r>
            <a:r>
              <a:rPr lang="en-US" sz="1400" baseline="0">
                <a:solidFill>
                  <a:sysClr val="windowText" lastClr="000000"/>
                </a:solidFill>
              </a:rPr>
              <a:t> Height</a:t>
            </a:r>
            <a:endParaRPr lang="en-US" sz="1000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56" name="TextBox 55">
            <a:extLst>
              <a:ext uri="{FF2B5EF4-FFF2-40B4-BE49-F238E27FC236}">
                <a16:creationId xmlns:a16="http://schemas.microsoft.com/office/drawing/2014/main" id="{00000000-0008-0000-0300-000038000000}"/>
              </a:ext>
            </a:extLst>
          </xdr:cNvPr>
          <xdr:cNvSpPr txBox="1"/>
        </xdr:nvSpPr>
        <xdr:spPr>
          <a:xfrm>
            <a:off x="10536464" y="4301218"/>
            <a:ext cx="541111" cy="42000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US" sz="1800">
                <a:solidFill>
                  <a:srgbClr val="FF0000"/>
                </a:solidFill>
              </a:rPr>
              <a:t>B</a:t>
            </a:r>
            <a:endParaRPr lang="en-US" sz="1100">
              <a:solidFill>
                <a:srgbClr val="FF0000"/>
              </a:solidFill>
            </a:endParaRP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123825</xdr:colOff>
      <xdr:row>28</xdr:row>
      <xdr:rowOff>9525</xdr:rowOff>
    </xdr:from>
    <xdr:to>
      <xdr:col>14</xdr:col>
      <xdr:colOff>333375</xdr:colOff>
      <xdr:row>44</xdr:row>
      <xdr:rowOff>161925</xdr:rowOff>
    </xdr:to>
    <xdr:grpSp>
      <xdr:nvGrpSpPr>
        <xdr:cNvPr id="2969" name="Group 30">
          <a:extLst>
            <a:ext uri="{FF2B5EF4-FFF2-40B4-BE49-F238E27FC236}">
              <a16:creationId xmlns:a16="http://schemas.microsoft.com/office/drawing/2014/main" id="{00000000-0008-0000-0400-0000990B0000}"/>
            </a:ext>
          </a:extLst>
        </xdr:cNvPr>
        <xdr:cNvGrpSpPr>
          <a:grpSpLocks/>
        </xdr:cNvGrpSpPr>
      </xdr:nvGrpSpPr>
      <xdr:grpSpPr bwMode="auto">
        <a:xfrm>
          <a:off x="9772297" y="5537553"/>
          <a:ext cx="2650772" cy="3330928"/>
          <a:chOff x="104" y="395"/>
          <a:chExt cx="278" cy="379"/>
        </a:xfrm>
      </xdr:grpSpPr>
      <xdr:pic>
        <xdr:nvPicPr>
          <xdr:cNvPr id="2999" name="Picture 4" descr="MI750PolarBase2">
            <a:extLst>
              <a:ext uri="{FF2B5EF4-FFF2-40B4-BE49-F238E27FC236}">
                <a16:creationId xmlns:a16="http://schemas.microsoft.com/office/drawing/2014/main" id="{00000000-0008-0000-0400-0000B70B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04" y="489"/>
            <a:ext cx="125" cy="14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000" name="Rectangle 5">
            <a:extLst>
              <a:ext uri="{FF2B5EF4-FFF2-40B4-BE49-F238E27FC236}">
                <a16:creationId xmlns:a16="http://schemas.microsoft.com/office/drawing/2014/main" id="{00000000-0008-0000-0400-0000B80B0000}"/>
              </a:ext>
            </a:extLst>
          </xdr:cNvPr>
          <xdr:cNvSpPr>
            <a:spLocks noChangeArrowheads="1"/>
          </xdr:cNvSpPr>
        </xdr:nvSpPr>
        <xdr:spPr bwMode="auto">
          <a:xfrm>
            <a:off x="233" y="625"/>
            <a:ext cx="65" cy="149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001" name="Line 11">
            <a:extLst>
              <a:ext uri="{FF2B5EF4-FFF2-40B4-BE49-F238E27FC236}">
                <a16:creationId xmlns:a16="http://schemas.microsoft.com/office/drawing/2014/main" id="{00000000-0008-0000-0400-0000B90B0000}"/>
              </a:ext>
            </a:extLst>
          </xdr:cNvPr>
          <xdr:cNvSpPr>
            <a:spLocks noChangeShapeType="1"/>
          </xdr:cNvSpPr>
        </xdr:nvSpPr>
        <xdr:spPr bwMode="auto">
          <a:xfrm>
            <a:off x="350" y="774"/>
            <a:ext cx="32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grpSp>
        <xdr:nvGrpSpPr>
          <xdr:cNvPr id="3002" name="Group 28">
            <a:extLst>
              <a:ext uri="{FF2B5EF4-FFF2-40B4-BE49-F238E27FC236}">
                <a16:creationId xmlns:a16="http://schemas.microsoft.com/office/drawing/2014/main" id="{00000000-0008-0000-0400-0000BA0B0000}"/>
              </a:ext>
            </a:extLst>
          </xdr:cNvPr>
          <xdr:cNvGrpSpPr>
            <a:grpSpLocks/>
          </xdr:cNvGrpSpPr>
        </xdr:nvGrpSpPr>
        <xdr:grpSpPr bwMode="auto">
          <a:xfrm>
            <a:off x="104" y="395"/>
            <a:ext cx="166" cy="152"/>
            <a:chOff x="104" y="395"/>
            <a:chExt cx="166" cy="152"/>
          </a:xfrm>
        </xdr:grpSpPr>
        <xdr:sp macro="" textlink="">
          <xdr:nvSpPr>
            <xdr:cNvPr id="3003" name="Line 6">
              <a:extLst>
                <a:ext uri="{FF2B5EF4-FFF2-40B4-BE49-F238E27FC236}">
                  <a16:creationId xmlns:a16="http://schemas.microsoft.com/office/drawing/2014/main" id="{00000000-0008-0000-0400-0000BB0B0000}"/>
                </a:ext>
              </a:extLst>
            </xdr:cNvPr>
            <xdr:cNvSpPr>
              <a:spLocks noChangeShapeType="1"/>
            </xdr:cNvSpPr>
          </xdr:nvSpPr>
          <xdr:spPr bwMode="auto">
            <a:xfrm flipH="1" flipV="1">
              <a:off x="133" y="395"/>
              <a:ext cx="137" cy="11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004" name="Line 7">
              <a:extLst>
                <a:ext uri="{FF2B5EF4-FFF2-40B4-BE49-F238E27FC236}">
                  <a16:creationId xmlns:a16="http://schemas.microsoft.com/office/drawing/2014/main" id="{00000000-0008-0000-0400-0000BC0B00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104" y="395"/>
              <a:ext cx="28" cy="28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005" name="Line 8">
              <a:extLst>
                <a:ext uri="{FF2B5EF4-FFF2-40B4-BE49-F238E27FC236}">
                  <a16:creationId xmlns:a16="http://schemas.microsoft.com/office/drawing/2014/main" id="{00000000-0008-0000-0400-0000BD0B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04" y="424"/>
              <a:ext cx="132" cy="123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006" name="Oval 18">
              <a:extLst>
                <a:ext uri="{FF2B5EF4-FFF2-40B4-BE49-F238E27FC236}">
                  <a16:creationId xmlns:a16="http://schemas.microsoft.com/office/drawing/2014/main" id="{00000000-0008-0000-0400-0000BE0B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31" y="419"/>
              <a:ext cx="8" cy="8"/>
            </a:xfrm>
            <a:prstGeom prst="ellipse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</xdr:grpSp>
    </xdr:grpSp>
    <xdr:clientData/>
  </xdr:twoCellAnchor>
  <xdr:twoCellAnchor>
    <xdr:from>
      <xdr:col>8</xdr:col>
      <xdr:colOff>122736</xdr:colOff>
      <xdr:row>23</xdr:row>
      <xdr:rowOff>49069</xdr:rowOff>
    </xdr:from>
    <xdr:to>
      <xdr:col>15</xdr:col>
      <xdr:colOff>9399</xdr:colOff>
      <xdr:row>31</xdr:row>
      <xdr:rowOff>162926</xdr:rowOff>
    </xdr:to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/>
      </xdr:nvSpPr>
      <xdr:spPr>
        <a:xfrm rot="19757592">
          <a:off x="8076111" y="4516294"/>
          <a:ext cx="4153863" cy="1656907"/>
        </a:xfrm>
        <a:prstGeom prst="rect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5</xdr:col>
      <xdr:colOff>552450</xdr:colOff>
      <xdr:row>15</xdr:row>
      <xdr:rowOff>104775</xdr:rowOff>
    </xdr:from>
    <xdr:to>
      <xdr:col>15</xdr:col>
      <xdr:colOff>285750</xdr:colOff>
      <xdr:row>43</xdr:row>
      <xdr:rowOff>114301</xdr:rowOff>
    </xdr:to>
    <xdr:sp macro="" textlink="">
      <xdr:nvSpPr>
        <xdr:cNvPr id="22" name="Oval 2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/>
      </xdr:nvSpPr>
      <xdr:spPr>
        <a:xfrm>
          <a:off x="6743700" y="3590925"/>
          <a:ext cx="5829300" cy="5762626"/>
        </a:xfrm>
        <a:prstGeom prst="ellipse">
          <a:avLst/>
        </a:prstGeom>
        <a:noFill/>
        <a:ln w="6350"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4</xdr:col>
      <xdr:colOff>352426</xdr:colOff>
      <xdr:row>11</xdr:row>
      <xdr:rowOff>85724</xdr:rowOff>
    </xdr:from>
    <xdr:to>
      <xdr:col>16</xdr:col>
      <xdr:colOff>542926</xdr:colOff>
      <xdr:row>45</xdr:row>
      <xdr:rowOff>171449</xdr:rowOff>
    </xdr:to>
    <xdr:sp macro="" textlink="">
      <xdr:nvSpPr>
        <xdr:cNvPr id="24" name="Oval 23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/>
      </xdr:nvSpPr>
      <xdr:spPr>
        <a:xfrm>
          <a:off x="5867401" y="2219324"/>
          <a:ext cx="7505700" cy="7038975"/>
        </a:xfrm>
        <a:prstGeom prst="ellipse">
          <a:avLst/>
        </a:prstGeom>
        <a:noFill/>
        <a:ln w="6350">
          <a:solidFill>
            <a:schemeClr val="tx1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4</xdr:col>
      <xdr:colOff>333376</xdr:colOff>
      <xdr:row>29</xdr:row>
      <xdr:rowOff>109536</xdr:rowOff>
    </xdr:from>
    <xdr:to>
      <xdr:col>4</xdr:col>
      <xdr:colOff>352427</xdr:colOff>
      <xdr:row>44</xdr:row>
      <xdr:rowOff>180974</xdr:rowOff>
    </xdr:to>
    <xdr:cxnSp macro="">
      <xdr:nvCxnSpPr>
        <xdr:cNvPr id="26" name="Straight Connector 25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CxnSpPr>
          <a:stCxn id="24" idx="2"/>
        </xdr:cNvCxnSpPr>
      </xdr:nvCxnSpPr>
      <xdr:spPr>
        <a:xfrm rot="10800000" flipV="1">
          <a:off x="5848351" y="5738811"/>
          <a:ext cx="19051" cy="3338513"/>
        </a:xfrm>
        <a:prstGeom prst="line">
          <a:avLst/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523876</xdr:colOff>
      <xdr:row>29</xdr:row>
      <xdr:rowOff>100011</xdr:rowOff>
    </xdr:from>
    <xdr:to>
      <xdr:col>16</xdr:col>
      <xdr:colOff>542927</xdr:colOff>
      <xdr:row>44</xdr:row>
      <xdr:rowOff>171449</xdr:rowOff>
    </xdr:to>
    <xdr:cxnSp macro="">
      <xdr:nvCxnSpPr>
        <xdr:cNvPr id="27" name="Straight Connector 26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CxnSpPr/>
      </xdr:nvCxnSpPr>
      <xdr:spPr>
        <a:xfrm rot="10800000" flipV="1">
          <a:off x="13354051" y="5729286"/>
          <a:ext cx="19051" cy="3338513"/>
        </a:xfrm>
        <a:prstGeom prst="line">
          <a:avLst/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323850</xdr:colOff>
      <xdr:row>44</xdr:row>
      <xdr:rowOff>180975</xdr:rowOff>
    </xdr:from>
    <xdr:to>
      <xdr:col>12</xdr:col>
      <xdr:colOff>0</xdr:colOff>
      <xdr:row>45</xdr:row>
      <xdr:rowOff>0</xdr:rowOff>
    </xdr:to>
    <xdr:cxnSp macro="">
      <xdr:nvCxnSpPr>
        <xdr:cNvPr id="29" name="Straight Connector 28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CxnSpPr/>
      </xdr:nvCxnSpPr>
      <xdr:spPr>
        <a:xfrm>
          <a:off x="5838825" y="9077325"/>
          <a:ext cx="4552950" cy="9525"/>
        </a:xfrm>
        <a:prstGeom prst="line">
          <a:avLst/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285750</xdr:colOff>
      <xdr:row>44</xdr:row>
      <xdr:rowOff>180975</xdr:rowOff>
    </xdr:from>
    <xdr:to>
      <xdr:col>16</xdr:col>
      <xdr:colOff>542925</xdr:colOff>
      <xdr:row>45</xdr:row>
      <xdr:rowOff>9525</xdr:rowOff>
    </xdr:to>
    <xdr:cxnSp macro="">
      <xdr:nvCxnSpPr>
        <xdr:cNvPr id="31" name="Straight Connector 30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CxnSpPr/>
      </xdr:nvCxnSpPr>
      <xdr:spPr>
        <a:xfrm flipV="1">
          <a:off x="11287125" y="9077325"/>
          <a:ext cx="2085975" cy="19050"/>
        </a:xfrm>
        <a:prstGeom prst="line">
          <a:avLst/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47625</xdr:colOff>
      <xdr:row>44</xdr:row>
      <xdr:rowOff>161925</xdr:rowOff>
    </xdr:from>
    <xdr:to>
      <xdr:col>13</xdr:col>
      <xdr:colOff>228600</xdr:colOff>
      <xdr:row>49</xdr:row>
      <xdr:rowOff>0</xdr:rowOff>
    </xdr:to>
    <xdr:sp macro="" textlink="">
      <xdr:nvSpPr>
        <xdr:cNvPr id="32" name="Rectangle 31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/>
      </xdr:nvSpPr>
      <xdr:spPr>
        <a:xfrm>
          <a:off x="10439400" y="9058275"/>
          <a:ext cx="790575" cy="790575"/>
        </a:xfrm>
        <a:prstGeom prst="rect">
          <a:avLst/>
        </a:prstGeom>
        <a:solidFill>
          <a:schemeClr val="bg1">
            <a:lumMod val="85000"/>
          </a:schemeClr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17</xdr:col>
      <xdr:colOff>390524</xdr:colOff>
      <xdr:row>29</xdr:row>
      <xdr:rowOff>123825</xdr:rowOff>
    </xdr:from>
    <xdr:to>
      <xdr:col>17</xdr:col>
      <xdr:colOff>400049</xdr:colOff>
      <xdr:row>44</xdr:row>
      <xdr:rowOff>152400</xdr:rowOff>
    </xdr:to>
    <xdr:cxnSp macro="">
      <xdr:nvCxnSpPr>
        <xdr:cNvPr id="34" name="Straight Arrow Connector 33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CxnSpPr/>
      </xdr:nvCxnSpPr>
      <xdr:spPr>
        <a:xfrm rot="16200000" flipH="1">
          <a:off x="12187237" y="7396162"/>
          <a:ext cx="3295650" cy="9525"/>
        </a:xfrm>
        <a:prstGeom prst="straightConnector1">
          <a:avLst/>
        </a:prstGeom>
        <a:ln>
          <a:solidFill>
            <a:srgbClr val="FF0000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428625</xdr:colOff>
      <xdr:row>36</xdr:row>
      <xdr:rowOff>76200</xdr:rowOff>
    </xdr:from>
    <xdr:to>
      <xdr:col>18</xdr:col>
      <xdr:colOff>361950</xdr:colOff>
      <xdr:row>38</xdr:row>
      <xdr:rowOff>142875</xdr:rowOff>
    </xdr:to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 txBox="1"/>
      </xdr:nvSpPr>
      <xdr:spPr>
        <a:xfrm>
          <a:off x="13868400" y="7058025"/>
          <a:ext cx="542925" cy="447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800">
              <a:solidFill>
                <a:srgbClr val="FF0000"/>
              </a:solidFill>
            </a:rPr>
            <a:t>h</a:t>
          </a:r>
          <a:endParaRPr 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5</xdr:col>
      <xdr:colOff>180976</xdr:colOff>
      <xdr:row>21</xdr:row>
      <xdr:rowOff>85725</xdr:rowOff>
    </xdr:from>
    <xdr:to>
      <xdr:col>10</xdr:col>
      <xdr:colOff>381001</xdr:colOff>
      <xdr:row>29</xdr:row>
      <xdr:rowOff>85725</xdr:rowOff>
    </xdr:to>
    <xdr:cxnSp macro="">
      <xdr:nvCxnSpPr>
        <xdr:cNvPr id="37" name="Straight Arrow Connector 36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CxnSpPr>
          <a:stCxn id="3006" idx="2"/>
        </xdr:cNvCxnSpPr>
      </xdr:nvCxnSpPr>
      <xdr:spPr>
        <a:xfrm rot="10800000">
          <a:off x="6305551" y="4171950"/>
          <a:ext cx="3248025" cy="1543050"/>
        </a:xfrm>
        <a:prstGeom prst="straightConnector1">
          <a:avLst/>
        </a:prstGeom>
        <a:ln>
          <a:solidFill>
            <a:srgbClr val="FF0000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428625</xdr:colOff>
      <xdr:row>23</xdr:row>
      <xdr:rowOff>114300</xdr:rowOff>
    </xdr:from>
    <xdr:to>
      <xdr:col>8</xdr:col>
      <xdr:colOff>361950</xdr:colOff>
      <xdr:row>25</xdr:row>
      <xdr:rowOff>171450</xdr:rowOff>
    </xdr:to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SpPr txBox="1"/>
      </xdr:nvSpPr>
      <xdr:spPr>
        <a:xfrm>
          <a:off x="7772400" y="4581525"/>
          <a:ext cx="542925" cy="447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800">
              <a:solidFill>
                <a:srgbClr val="FF0000"/>
              </a:solidFill>
            </a:rPr>
            <a:t>R</a:t>
          </a:r>
          <a:endParaRPr 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12</xdr:col>
      <xdr:colOff>209550</xdr:colOff>
      <xdr:row>40</xdr:row>
      <xdr:rowOff>161925</xdr:rowOff>
    </xdr:from>
    <xdr:to>
      <xdr:col>13</xdr:col>
      <xdr:colOff>142875</xdr:colOff>
      <xdr:row>42</xdr:row>
      <xdr:rowOff>228600</xdr:rowOff>
    </xdr:to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SpPr txBox="1"/>
      </xdr:nvSpPr>
      <xdr:spPr>
        <a:xfrm>
          <a:off x="10601325" y="7915275"/>
          <a:ext cx="542925" cy="447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800">
              <a:solidFill>
                <a:srgbClr val="FF0000"/>
              </a:solidFill>
            </a:rPr>
            <a:t>P</a:t>
          </a:r>
          <a:endParaRPr 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12</xdr:col>
      <xdr:colOff>442119</xdr:colOff>
      <xdr:row>39</xdr:row>
      <xdr:rowOff>76993</xdr:rowOff>
    </xdr:from>
    <xdr:to>
      <xdr:col>12</xdr:col>
      <xdr:colOff>443707</xdr:colOff>
      <xdr:row>44</xdr:row>
      <xdr:rowOff>162718</xdr:rowOff>
    </xdr:to>
    <xdr:cxnSp macro="">
      <xdr:nvCxnSpPr>
        <xdr:cNvPr id="40" name="Straight Arrow Connector 39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CxnSpPr>
          <a:stCxn id="3000" idx="0"/>
          <a:endCxn id="32" idx="0"/>
        </xdr:cNvCxnSpPr>
      </xdr:nvCxnSpPr>
      <xdr:spPr>
        <a:xfrm rot="16200000" flipH="1">
          <a:off x="10125075" y="8348662"/>
          <a:ext cx="1419225" cy="1588"/>
        </a:xfrm>
        <a:prstGeom prst="straightConnector1">
          <a:avLst/>
        </a:prstGeom>
        <a:ln>
          <a:solidFill>
            <a:srgbClr val="FF0000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442913</xdr:colOff>
      <xdr:row>35</xdr:row>
      <xdr:rowOff>9530</xdr:rowOff>
    </xdr:from>
    <xdr:to>
      <xdr:col>12</xdr:col>
      <xdr:colOff>447678</xdr:colOff>
      <xdr:row>39</xdr:row>
      <xdr:rowOff>114301</xdr:rowOff>
    </xdr:to>
    <xdr:cxnSp macro="">
      <xdr:nvCxnSpPr>
        <xdr:cNvPr id="43" name="Straight Arrow Connector 42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CxnSpPr/>
      </xdr:nvCxnSpPr>
      <xdr:spPr>
        <a:xfrm rot="5400000">
          <a:off x="10398923" y="7236620"/>
          <a:ext cx="876296" cy="4765"/>
        </a:xfrm>
        <a:prstGeom prst="straightConnector1">
          <a:avLst/>
        </a:prstGeom>
        <a:ln>
          <a:solidFill>
            <a:srgbClr val="FF0000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409575</xdr:colOff>
      <xdr:row>35</xdr:row>
      <xdr:rowOff>152400</xdr:rowOff>
    </xdr:from>
    <xdr:to>
      <xdr:col>13</xdr:col>
      <xdr:colOff>342900</xdr:colOff>
      <xdr:row>38</xdr:row>
      <xdr:rowOff>28575</xdr:rowOff>
    </xdr:to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SpPr txBox="1"/>
      </xdr:nvSpPr>
      <xdr:spPr>
        <a:xfrm>
          <a:off x="10801350" y="6943725"/>
          <a:ext cx="542925" cy="447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800">
              <a:solidFill>
                <a:srgbClr val="FF0000"/>
              </a:solidFill>
            </a:rPr>
            <a:t>A</a:t>
          </a:r>
          <a:endParaRPr 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446042</xdr:colOff>
      <xdr:row>29</xdr:row>
      <xdr:rowOff>112666</xdr:rowOff>
    </xdr:from>
    <xdr:to>
      <xdr:col>12</xdr:col>
      <xdr:colOff>457203</xdr:colOff>
      <xdr:row>35</xdr:row>
      <xdr:rowOff>38102</xdr:rowOff>
    </xdr:to>
    <xdr:cxnSp macro="">
      <xdr:nvCxnSpPr>
        <xdr:cNvPr id="47" name="Straight Arrow Connector 46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CxnSpPr>
          <a:endCxn id="3006" idx="5"/>
        </xdr:cNvCxnSpPr>
      </xdr:nvCxnSpPr>
      <xdr:spPr>
        <a:xfrm rot="10800000">
          <a:off x="9618617" y="5741941"/>
          <a:ext cx="1230361" cy="1087486"/>
        </a:xfrm>
        <a:prstGeom prst="straightConnector1">
          <a:avLst/>
        </a:prstGeom>
        <a:ln>
          <a:solidFill>
            <a:srgbClr val="FF0000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247650</xdr:colOff>
      <xdr:row>30</xdr:row>
      <xdr:rowOff>95250</xdr:rowOff>
    </xdr:from>
    <xdr:to>
      <xdr:col>12</xdr:col>
      <xdr:colOff>180975</xdr:colOff>
      <xdr:row>32</xdr:row>
      <xdr:rowOff>152400</xdr:rowOff>
    </xdr:to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SpPr txBox="1"/>
      </xdr:nvSpPr>
      <xdr:spPr>
        <a:xfrm>
          <a:off x="10029825" y="5915025"/>
          <a:ext cx="542925" cy="447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800">
              <a:solidFill>
                <a:srgbClr val="FF0000"/>
              </a:solidFill>
            </a:rPr>
            <a:t>B</a:t>
          </a:r>
          <a:endParaRPr 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446041</xdr:colOff>
      <xdr:row>22</xdr:row>
      <xdr:rowOff>7448</xdr:rowOff>
    </xdr:from>
    <xdr:to>
      <xdr:col>14</xdr:col>
      <xdr:colOff>327796</xdr:colOff>
      <xdr:row>29</xdr:row>
      <xdr:rowOff>58784</xdr:rowOff>
    </xdr:to>
    <xdr:cxnSp macro="">
      <xdr:nvCxnSpPr>
        <xdr:cNvPr id="51" name="Straight Arrow Connector 50"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CxnSpPr>
          <a:stCxn id="21" idx="3"/>
          <a:endCxn id="3006" idx="7"/>
        </xdr:cNvCxnSpPr>
      </xdr:nvCxnSpPr>
      <xdr:spPr>
        <a:xfrm flipH="1">
          <a:off x="9618616" y="4284173"/>
          <a:ext cx="2320155" cy="1403886"/>
        </a:xfrm>
        <a:prstGeom prst="straightConnector1">
          <a:avLst/>
        </a:prstGeom>
        <a:ln>
          <a:solidFill>
            <a:srgbClr val="FF0000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495300</xdr:colOff>
      <xdr:row>18</xdr:row>
      <xdr:rowOff>76200</xdr:rowOff>
    </xdr:from>
    <xdr:to>
      <xdr:col>14</xdr:col>
      <xdr:colOff>327796</xdr:colOff>
      <xdr:row>22</xdr:row>
      <xdr:rowOff>7448</xdr:rowOff>
    </xdr:to>
    <xdr:cxnSp macro="">
      <xdr:nvCxnSpPr>
        <xdr:cNvPr id="54" name="Straight Arrow Connector 53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CxnSpPr>
          <a:endCxn id="21" idx="3"/>
        </xdr:cNvCxnSpPr>
      </xdr:nvCxnSpPr>
      <xdr:spPr>
        <a:xfrm rot="16200000" flipH="1">
          <a:off x="11361574" y="3706976"/>
          <a:ext cx="712298" cy="442096"/>
        </a:xfrm>
        <a:prstGeom prst="straightConnector1">
          <a:avLst/>
        </a:prstGeom>
        <a:ln>
          <a:solidFill>
            <a:srgbClr val="FF0000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47625</xdr:colOff>
      <xdr:row>24</xdr:row>
      <xdr:rowOff>85725</xdr:rowOff>
    </xdr:from>
    <xdr:to>
      <xdr:col>12</xdr:col>
      <xdr:colOff>590550</xdr:colOff>
      <xdr:row>26</xdr:row>
      <xdr:rowOff>142875</xdr:rowOff>
    </xdr:to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SpPr txBox="1"/>
      </xdr:nvSpPr>
      <xdr:spPr>
        <a:xfrm>
          <a:off x="10439400" y="4743450"/>
          <a:ext cx="542925" cy="447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800">
              <a:solidFill>
                <a:srgbClr val="FF0000"/>
              </a:solidFill>
            </a:rPr>
            <a:t>E</a:t>
          </a:r>
          <a:endParaRPr 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13</xdr:col>
      <xdr:colOff>457200</xdr:colOff>
      <xdr:row>19</xdr:row>
      <xdr:rowOff>47625</xdr:rowOff>
    </xdr:from>
    <xdr:to>
      <xdr:col>14</xdr:col>
      <xdr:colOff>390525</xdr:colOff>
      <xdr:row>21</xdr:row>
      <xdr:rowOff>104775</xdr:rowOff>
    </xdr:to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400-00003A000000}"/>
            </a:ext>
          </a:extLst>
        </xdr:cNvPr>
        <xdr:cNvSpPr txBox="1"/>
      </xdr:nvSpPr>
      <xdr:spPr>
        <a:xfrm>
          <a:off x="11458575" y="3743325"/>
          <a:ext cx="542925" cy="447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800">
              <a:solidFill>
                <a:srgbClr val="FF0000"/>
              </a:solidFill>
            </a:rPr>
            <a:t>F</a:t>
          </a:r>
          <a:endParaRPr 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8</xdr:col>
      <xdr:colOff>19050</xdr:colOff>
      <xdr:row>29</xdr:row>
      <xdr:rowOff>85724</xdr:rowOff>
    </xdr:from>
    <xdr:to>
      <xdr:col>10</xdr:col>
      <xdr:colOff>381000</xdr:colOff>
      <xdr:row>33</xdr:row>
      <xdr:rowOff>142874</xdr:rowOff>
    </xdr:to>
    <xdr:cxnSp macro="">
      <xdr:nvCxnSpPr>
        <xdr:cNvPr id="59" name="Straight Arrow Connector 58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CxnSpPr>
          <a:stCxn id="3006" idx="2"/>
        </xdr:cNvCxnSpPr>
      </xdr:nvCxnSpPr>
      <xdr:spPr>
        <a:xfrm rot="10800000" flipV="1">
          <a:off x="7972425" y="5714999"/>
          <a:ext cx="1581150" cy="828675"/>
        </a:xfrm>
        <a:prstGeom prst="straightConnector1">
          <a:avLst/>
        </a:prstGeom>
        <a:ln>
          <a:solidFill>
            <a:srgbClr val="FF0000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561975</xdr:colOff>
      <xdr:row>30</xdr:row>
      <xdr:rowOff>0</xdr:rowOff>
    </xdr:from>
    <xdr:to>
      <xdr:col>9</xdr:col>
      <xdr:colOff>495300</xdr:colOff>
      <xdr:row>32</xdr:row>
      <xdr:rowOff>57150</xdr:rowOff>
    </xdr:to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SpPr txBox="1"/>
      </xdr:nvSpPr>
      <xdr:spPr>
        <a:xfrm>
          <a:off x="8515350" y="5819775"/>
          <a:ext cx="542925" cy="447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800">
              <a:solidFill>
                <a:srgbClr val="FF0000"/>
              </a:solidFill>
            </a:rPr>
            <a:t>G</a:t>
          </a:r>
          <a:endParaRPr 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418307</xdr:colOff>
      <xdr:row>15</xdr:row>
      <xdr:rowOff>105569</xdr:rowOff>
    </xdr:from>
    <xdr:to>
      <xdr:col>10</xdr:col>
      <xdr:colOff>419895</xdr:colOff>
      <xdr:row>29</xdr:row>
      <xdr:rowOff>46610</xdr:rowOff>
    </xdr:to>
    <xdr:cxnSp macro="">
      <xdr:nvCxnSpPr>
        <xdr:cNvPr id="63" name="Straight Arrow Connector 62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CxnSpPr>
          <a:stCxn id="3006" idx="0"/>
          <a:endCxn id="22" idx="0"/>
        </xdr:cNvCxnSpPr>
      </xdr:nvCxnSpPr>
      <xdr:spPr>
        <a:xfrm rot="5400000" flipH="1" flipV="1">
          <a:off x="8240030" y="5009246"/>
          <a:ext cx="2836641" cy="1588"/>
        </a:xfrm>
        <a:prstGeom prst="straightConnector1">
          <a:avLst/>
        </a:prstGeom>
        <a:ln>
          <a:solidFill>
            <a:schemeClr val="tx1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9525</xdr:colOff>
      <xdr:row>17</xdr:row>
      <xdr:rowOff>123825</xdr:rowOff>
    </xdr:from>
    <xdr:to>
      <xdr:col>12</xdr:col>
      <xdr:colOff>209550</xdr:colOff>
      <xdr:row>19</xdr:row>
      <xdr:rowOff>171450</xdr:rowOff>
    </xdr:to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SpPr txBox="1"/>
      </xdr:nvSpPr>
      <xdr:spPr>
        <a:xfrm>
          <a:off x="9182100" y="3419475"/>
          <a:ext cx="1419225" cy="447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400">
              <a:solidFill>
                <a:sysClr val="windowText" lastClr="000000"/>
              </a:solidFill>
            </a:rPr>
            <a:t>Max</a:t>
          </a:r>
          <a:r>
            <a:rPr lang="en-US" sz="1400" baseline="0">
              <a:solidFill>
                <a:sysClr val="windowText" lastClr="000000"/>
              </a:solidFill>
            </a:rPr>
            <a:t> Height</a:t>
          </a:r>
          <a:endParaRPr lang="en-U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10</xdr:col>
      <xdr:colOff>400050</xdr:colOff>
      <xdr:row>43</xdr:row>
      <xdr:rowOff>361946</xdr:rowOff>
    </xdr:from>
    <xdr:to>
      <xdr:col>12</xdr:col>
      <xdr:colOff>438156</xdr:colOff>
      <xdr:row>43</xdr:row>
      <xdr:rowOff>361949</xdr:rowOff>
    </xdr:to>
    <xdr:cxnSp macro="">
      <xdr:nvCxnSpPr>
        <xdr:cNvPr id="70" name="Straight Arrow Connector 69"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CxnSpPr/>
      </xdr:nvCxnSpPr>
      <xdr:spPr>
        <a:xfrm rot="10800000" flipV="1">
          <a:off x="9639300" y="9601196"/>
          <a:ext cx="1257306" cy="3"/>
        </a:xfrm>
        <a:prstGeom prst="straightConnector1">
          <a:avLst/>
        </a:prstGeom>
        <a:ln>
          <a:solidFill>
            <a:schemeClr val="tx1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561975</xdr:colOff>
      <xdr:row>43</xdr:row>
      <xdr:rowOff>142875</xdr:rowOff>
    </xdr:from>
    <xdr:to>
      <xdr:col>12</xdr:col>
      <xdr:colOff>495300</xdr:colOff>
      <xdr:row>45</xdr:row>
      <xdr:rowOff>19050</xdr:rowOff>
    </xdr:to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SpPr txBox="1"/>
      </xdr:nvSpPr>
      <xdr:spPr>
        <a:xfrm>
          <a:off x="9801225" y="9382125"/>
          <a:ext cx="1152525" cy="447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200">
              <a:solidFill>
                <a:sysClr val="windowText" lastClr="000000"/>
              </a:solidFill>
            </a:rPr>
            <a:t>Pier</a:t>
          </a:r>
          <a:r>
            <a:rPr lang="en-US" sz="1200" baseline="0">
              <a:solidFill>
                <a:sysClr val="windowText" lastClr="000000"/>
              </a:solidFill>
            </a:rPr>
            <a:t> Offset</a:t>
          </a:r>
          <a:endParaRPr lang="en-US" sz="9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10</xdr:col>
      <xdr:colOff>390524</xdr:colOff>
      <xdr:row>30</xdr:row>
      <xdr:rowOff>2</xdr:rowOff>
    </xdr:from>
    <xdr:to>
      <xdr:col>10</xdr:col>
      <xdr:colOff>409575</xdr:colOff>
      <xdr:row>45</xdr:row>
      <xdr:rowOff>4</xdr:rowOff>
    </xdr:to>
    <xdr:cxnSp macro="">
      <xdr:nvCxnSpPr>
        <xdr:cNvPr id="74" name="Straight Arrow Connector 73">
          <a:extLst>
            <a:ext uri="{FF2B5EF4-FFF2-40B4-BE49-F238E27FC236}">
              <a16:creationId xmlns:a16="http://schemas.microsoft.com/office/drawing/2014/main" id="{00000000-0008-0000-0400-00004A000000}"/>
            </a:ext>
          </a:extLst>
        </xdr:cNvPr>
        <xdr:cNvCxnSpPr/>
      </xdr:nvCxnSpPr>
      <xdr:spPr>
        <a:xfrm rot="5400000" flipH="1" flipV="1">
          <a:off x="8020049" y="8181977"/>
          <a:ext cx="3238502" cy="19051"/>
        </a:xfrm>
        <a:prstGeom prst="straightConnector1">
          <a:avLst/>
        </a:prstGeom>
        <a:ln>
          <a:solidFill>
            <a:schemeClr val="tx1"/>
          </a:solidFill>
          <a:prstDash val="dashDot"/>
          <a:headEnd type="non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1571625</xdr:colOff>
      <xdr:row>46</xdr:row>
      <xdr:rowOff>47625</xdr:rowOff>
    </xdr:from>
    <xdr:to>
      <xdr:col>4</xdr:col>
      <xdr:colOff>323850</xdr:colOff>
      <xdr:row>53</xdr:row>
      <xdr:rowOff>47625</xdr:rowOff>
    </xdr:to>
    <xdr:sp macro="" textlink="">
      <xdr:nvSpPr>
        <xdr:cNvPr id="5522" name="Picture 4" descr="MI750PolarBase2">
          <a:extLst>
            <a:ext uri="{FF2B5EF4-FFF2-40B4-BE49-F238E27FC236}">
              <a16:creationId xmlns:a16="http://schemas.microsoft.com/office/drawing/2014/main" id="{00000000-0008-0000-0500-000092150000}"/>
            </a:ext>
          </a:extLst>
        </xdr:cNvPr>
        <xdr:cNvSpPr>
          <a:spLocks noChangeAspect="1" noChangeArrowheads="1"/>
        </xdr:cNvSpPr>
      </xdr:nvSpPr>
      <xdr:spPr bwMode="auto">
        <a:xfrm>
          <a:off x="4876800" y="9858375"/>
          <a:ext cx="1190625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95250</xdr:colOff>
      <xdr:row>42</xdr:row>
      <xdr:rowOff>180975</xdr:rowOff>
    </xdr:from>
    <xdr:to>
      <xdr:col>11</xdr:col>
      <xdr:colOff>104775</xdr:colOff>
      <xdr:row>44</xdr:row>
      <xdr:rowOff>161925</xdr:rowOff>
    </xdr:to>
    <xdr:sp macro="" textlink="">
      <xdr:nvSpPr>
        <xdr:cNvPr id="5523" name="Rectangle 5">
          <a:extLst>
            <a:ext uri="{FF2B5EF4-FFF2-40B4-BE49-F238E27FC236}">
              <a16:creationId xmlns:a16="http://schemas.microsoft.com/office/drawing/2014/main" id="{00000000-0008-0000-0500-000093150000}"/>
            </a:ext>
          </a:extLst>
        </xdr:cNvPr>
        <xdr:cNvSpPr>
          <a:spLocks noChangeArrowheads="1"/>
        </xdr:cNvSpPr>
      </xdr:nvSpPr>
      <xdr:spPr bwMode="auto">
        <a:xfrm>
          <a:off x="9496425" y="8848725"/>
          <a:ext cx="619125" cy="742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14</xdr:col>
      <xdr:colOff>28575</xdr:colOff>
      <xdr:row>44</xdr:row>
      <xdr:rowOff>161925</xdr:rowOff>
    </xdr:from>
    <xdr:to>
      <xdr:col>14</xdr:col>
      <xdr:colOff>333375</xdr:colOff>
      <xdr:row>44</xdr:row>
      <xdr:rowOff>161925</xdr:rowOff>
    </xdr:to>
    <xdr:sp macro="" textlink="">
      <xdr:nvSpPr>
        <xdr:cNvPr id="5524" name="Line 11">
          <a:extLst>
            <a:ext uri="{FF2B5EF4-FFF2-40B4-BE49-F238E27FC236}">
              <a16:creationId xmlns:a16="http://schemas.microsoft.com/office/drawing/2014/main" id="{00000000-0008-0000-0500-000094150000}"/>
            </a:ext>
          </a:extLst>
        </xdr:cNvPr>
        <xdr:cNvSpPr>
          <a:spLocks noChangeShapeType="1"/>
        </xdr:cNvSpPr>
      </xdr:nvSpPr>
      <xdr:spPr bwMode="auto">
        <a:xfrm>
          <a:off x="11868150" y="9591675"/>
          <a:ext cx="304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552450</xdr:colOff>
      <xdr:row>15</xdr:row>
      <xdr:rowOff>104775</xdr:rowOff>
    </xdr:from>
    <xdr:to>
      <xdr:col>15</xdr:col>
      <xdr:colOff>285750</xdr:colOff>
      <xdr:row>43</xdr:row>
      <xdr:rowOff>114301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>
          <a:off x="6905625" y="3400425"/>
          <a:ext cx="5829300" cy="5762626"/>
        </a:xfrm>
        <a:prstGeom prst="ellipse">
          <a:avLst/>
        </a:prstGeom>
        <a:noFill/>
        <a:ln w="6350"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4</xdr:col>
      <xdr:colOff>352426</xdr:colOff>
      <xdr:row>11</xdr:row>
      <xdr:rowOff>85724</xdr:rowOff>
    </xdr:from>
    <xdr:to>
      <xdr:col>16</xdr:col>
      <xdr:colOff>542926</xdr:colOff>
      <xdr:row>45</xdr:row>
      <xdr:rowOff>171449</xdr:rowOff>
    </xdr:to>
    <xdr:sp macro="" textlink="">
      <xdr:nvSpPr>
        <xdr:cNvPr id="13" name="Oval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/>
      </xdr:nvSpPr>
      <xdr:spPr>
        <a:xfrm>
          <a:off x="6096001" y="2600324"/>
          <a:ext cx="7505700" cy="7191375"/>
        </a:xfrm>
        <a:prstGeom prst="ellipse">
          <a:avLst/>
        </a:prstGeom>
        <a:noFill/>
        <a:ln w="6350">
          <a:solidFill>
            <a:schemeClr val="tx1"/>
          </a:solidFill>
          <a:prstDash val="lg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4</xdr:col>
      <xdr:colOff>333376</xdr:colOff>
      <xdr:row>29</xdr:row>
      <xdr:rowOff>109536</xdr:rowOff>
    </xdr:from>
    <xdr:to>
      <xdr:col>4</xdr:col>
      <xdr:colOff>352427</xdr:colOff>
      <xdr:row>44</xdr:row>
      <xdr:rowOff>180974</xdr:rowOff>
    </xdr:to>
    <xdr:cxnSp macro="">
      <xdr:nvCxnSpPr>
        <xdr:cNvPr id="14" name="Straight Connector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>
          <a:stCxn id="13" idx="2"/>
        </xdr:cNvCxnSpPr>
      </xdr:nvCxnSpPr>
      <xdr:spPr>
        <a:xfrm rot="10800000" flipV="1">
          <a:off x="6076951" y="6300786"/>
          <a:ext cx="19051" cy="3309938"/>
        </a:xfrm>
        <a:prstGeom prst="line">
          <a:avLst/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523876</xdr:colOff>
      <xdr:row>29</xdr:row>
      <xdr:rowOff>100011</xdr:rowOff>
    </xdr:from>
    <xdr:to>
      <xdr:col>16</xdr:col>
      <xdr:colOff>542927</xdr:colOff>
      <xdr:row>44</xdr:row>
      <xdr:rowOff>171449</xdr:rowOff>
    </xdr:to>
    <xdr:cxnSp macro="">
      <xdr:nvCxnSpPr>
        <xdr:cNvPr id="15" name="Straight Connector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CxnSpPr/>
      </xdr:nvCxnSpPr>
      <xdr:spPr>
        <a:xfrm rot="10800000" flipV="1">
          <a:off x="13582651" y="6291261"/>
          <a:ext cx="19051" cy="3309938"/>
        </a:xfrm>
        <a:prstGeom prst="line">
          <a:avLst/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323850</xdr:colOff>
      <xdr:row>44</xdr:row>
      <xdr:rowOff>180975</xdr:rowOff>
    </xdr:from>
    <xdr:to>
      <xdr:col>9</xdr:col>
      <xdr:colOff>590550</xdr:colOff>
      <xdr:row>45</xdr:row>
      <xdr:rowOff>0</xdr:rowOff>
    </xdr:to>
    <xdr:cxnSp macro="">
      <xdr:nvCxnSpPr>
        <xdr:cNvPr id="16" name="Straight Connector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CxnSpPr/>
      </xdr:nvCxnSpPr>
      <xdr:spPr>
        <a:xfrm>
          <a:off x="6067425" y="9610725"/>
          <a:ext cx="3314700" cy="9525"/>
        </a:xfrm>
        <a:prstGeom prst="line">
          <a:avLst/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228600</xdr:colOff>
      <xdr:row>44</xdr:row>
      <xdr:rowOff>180975</xdr:rowOff>
    </xdr:from>
    <xdr:to>
      <xdr:col>16</xdr:col>
      <xdr:colOff>542925</xdr:colOff>
      <xdr:row>45</xdr:row>
      <xdr:rowOff>19050</xdr:rowOff>
    </xdr:to>
    <xdr:cxnSp macro="">
      <xdr:nvCxnSpPr>
        <xdr:cNvPr id="17" name="Straight Connector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CxnSpPr/>
      </xdr:nvCxnSpPr>
      <xdr:spPr>
        <a:xfrm flipV="1">
          <a:off x="10239375" y="9610725"/>
          <a:ext cx="3362325" cy="28575"/>
        </a:xfrm>
        <a:prstGeom prst="line">
          <a:avLst/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44</xdr:row>
      <xdr:rowOff>161925</xdr:rowOff>
    </xdr:from>
    <xdr:to>
      <xdr:col>11</xdr:col>
      <xdr:colOff>180975</xdr:colOff>
      <xdr:row>49</xdr:row>
      <xdr:rowOff>0</xdr:rowOff>
    </xdr:to>
    <xdr:sp macro="" textlink="">
      <xdr:nvSpPr>
        <xdr:cNvPr id="18" name="Rectangle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/>
      </xdr:nvSpPr>
      <xdr:spPr>
        <a:xfrm>
          <a:off x="9401175" y="9591675"/>
          <a:ext cx="790575" cy="790575"/>
        </a:xfrm>
        <a:prstGeom prst="rect">
          <a:avLst/>
        </a:prstGeom>
        <a:solidFill>
          <a:schemeClr val="bg1">
            <a:lumMod val="85000"/>
          </a:schemeClr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17</xdr:col>
      <xdr:colOff>390524</xdr:colOff>
      <xdr:row>29</xdr:row>
      <xdr:rowOff>123825</xdr:rowOff>
    </xdr:from>
    <xdr:to>
      <xdr:col>17</xdr:col>
      <xdr:colOff>400049</xdr:colOff>
      <xdr:row>44</xdr:row>
      <xdr:rowOff>152400</xdr:rowOff>
    </xdr:to>
    <xdr:cxnSp macro="">
      <xdr:nvCxnSpPr>
        <xdr:cNvPr id="19" name="Straight Arrow Connector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CxnSpPr/>
      </xdr:nvCxnSpPr>
      <xdr:spPr>
        <a:xfrm rot="16200000" flipH="1">
          <a:off x="12430124" y="7943850"/>
          <a:ext cx="3267075" cy="9525"/>
        </a:xfrm>
        <a:prstGeom prst="straightConnector1">
          <a:avLst/>
        </a:prstGeom>
        <a:ln>
          <a:solidFill>
            <a:srgbClr val="FF0000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428625</xdr:colOff>
      <xdr:row>36</xdr:row>
      <xdr:rowOff>76200</xdr:rowOff>
    </xdr:from>
    <xdr:to>
      <xdr:col>18</xdr:col>
      <xdr:colOff>361950</xdr:colOff>
      <xdr:row>38</xdr:row>
      <xdr:rowOff>142875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 txBox="1"/>
      </xdr:nvSpPr>
      <xdr:spPr>
        <a:xfrm>
          <a:off x="14097000" y="7600950"/>
          <a:ext cx="542925" cy="447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800">
              <a:solidFill>
                <a:srgbClr val="FF0000"/>
              </a:solidFill>
            </a:rPr>
            <a:t>h</a:t>
          </a:r>
          <a:endParaRPr 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7</xdr:col>
      <xdr:colOff>476250</xdr:colOff>
      <xdr:row>23</xdr:row>
      <xdr:rowOff>85725</xdr:rowOff>
    </xdr:from>
    <xdr:to>
      <xdr:col>8</xdr:col>
      <xdr:colOff>409575</xdr:colOff>
      <xdr:row>25</xdr:row>
      <xdr:rowOff>142875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 txBox="1"/>
      </xdr:nvSpPr>
      <xdr:spPr>
        <a:xfrm>
          <a:off x="8048625" y="5124450"/>
          <a:ext cx="542925" cy="438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800">
              <a:solidFill>
                <a:srgbClr val="FF0000"/>
              </a:solidFill>
            </a:rPr>
            <a:t>R</a:t>
          </a:r>
          <a:endParaRPr 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361950</xdr:colOff>
      <xdr:row>42</xdr:row>
      <xdr:rowOff>352425</xdr:rowOff>
    </xdr:from>
    <xdr:to>
      <xdr:col>11</xdr:col>
      <xdr:colOff>295275</xdr:colOff>
      <xdr:row>44</xdr:row>
      <xdr:rowOff>38100</xdr:rowOff>
    </xdr:to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 txBox="1"/>
      </xdr:nvSpPr>
      <xdr:spPr>
        <a:xfrm>
          <a:off x="9763125" y="9020175"/>
          <a:ext cx="542925" cy="447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800">
              <a:solidFill>
                <a:srgbClr val="FF0000"/>
              </a:solidFill>
            </a:rPr>
            <a:t>P</a:t>
          </a:r>
          <a:endParaRPr 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395288</xdr:colOff>
      <xdr:row>42</xdr:row>
      <xdr:rowOff>180975</xdr:rowOff>
    </xdr:from>
    <xdr:to>
      <xdr:col>10</xdr:col>
      <xdr:colOff>404813</xdr:colOff>
      <xdr:row>44</xdr:row>
      <xdr:rowOff>161925</xdr:rowOff>
    </xdr:to>
    <xdr:cxnSp macro="">
      <xdr:nvCxnSpPr>
        <xdr:cNvPr id="24" name="Straight Arrow Connector 23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CxnSpPr>
          <a:stCxn id="5523" idx="0"/>
          <a:endCxn id="18" idx="0"/>
        </xdr:cNvCxnSpPr>
      </xdr:nvCxnSpPr>
      <xdr:spPr>
        <a:xfrm rot="16200000" flipH="1" flipV="1">
          <a:off x="9429751" y="9215437"/>
          <a:ext cx="742950" cy="9525"/>
        </a:xfrm>
        <a:prstGeom prst="straightConnector1">
          <a:avLst/>
        </a:prstGeom>
        <a:ln>
          <a:solidFill>
            <a:srgbClr val="FF0000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409575</xdr:colOff>
      <xdr:row>40</xdr:row>
      <xdr:rowOff>152400</xdr:rowOff>
    </xdr:from>
    <xdr:to>
      <xdr:col>12</xdr:col>
      <xdr:colOff>342900</xdr:colOff>
      <xdr:row>42</xdr:row>
      <xdr:rowOff>219075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 txBox="1"/>
      </xdr:nvSpPr>
      <xdr:spPr>
        <a:xfrm>
          <a:off x="10420350" y="8439150"/>
          <a:ext cx="542925" cy="447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800">
              <a:solidFill>
                <a:srgbClr val="FF0000"/>
              </a:solidFill>
            </a:rPr>
            <a:t>A</a:t>
          </a:r>
          <a:endParaRPr 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12</xdr:col>
      <xdr:colOff>95251</xdr:colOff>
      <xdr:row>40</xdr:row>
      <xdr:rowOff>171450</xdr:rowOff>
    </xdr:from>
    <xdr:to>
      <xdr:col>12</xdr:col>
      <xdr:colOff>95259</xdr:colOff>
      <xdr:row>42</xdr:row>
      <xdr:rowOff>180981</xdr:rowOff>
    </xdr:to>
    <xdr:cxnSp macro="">
      <xdr:nvCxnSpPr>
        <xdr:cNvPr id="27" name="Straight Arrow Connector 26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CxnSpPr/>
      </xdr:nvCxnSpPr>
      <xdr:spPr>
        <a:xfrm rot="16200000" flipV="1">
          <a:off x="10520364" y="8653462"/>
          <a:ext cx="390531" cy="8"/>
        </a:xfrm>
        <a:prstGeom prst="straightConnector1">
          <a:avLst/>
        </a:prstGeom>
        <a:ln>
          <a:solidFill>
            <a:srgbClr val="FF0000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342900</xdr:colOff>
      <xdr:row>34</xdr:row>
      <xdr:rowOff>19050</xdr:rowOff>
    </xdr:from>
    <xdr:to>
      <xdr:col>12</xdr:col>
      <xdr:colOff>276225</xdr:colOff>
      <xdr:row>36</xdr:row>
      <xdr:rowOff>76200</xdr:rowOff>
    </xdr:to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 txBox="1"/>
      </xdr:nvSpPr>
      <xdr:spPr>
        <a:xfrm>
          <a:off x="10353675" y="7162800"/>
          <a:ext cx="542925" cy="438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800">
              <a:solidFill>
                <a:srgbClr val="FF0000"/>
              </a:solidFill>
            </a:rPr>
            <a:t>B</a:t>
          </a:r>
          <a:endParaRPr 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12</xdr:col>
      <xdr:colOff>47625</xdr:colOff>
      <xdr:row>23</xdr:row>
      <xdr:rowOff>161925</xdr:rowOff>
    </xdr:from>
    <xdr:to>
      <xdr:col>12</xdr:col>
      <xdr:colOff>590550</xdr:colOff>
      <xdr:row>26</xdr:row>
      <xdr:rowOff>28575</xdr:rowOff>
    </xdr:to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SpPr txBox="1"/>
      </xdr:nvSpPr>
      <xdr:spPr>
        <a:xfrm>
          <a:off x="10668000" y="5200650"/>
          <a:ext cx="542925" cy="438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800">
              <a:solidFill>
                <a:srgbClr val="FF0000"/>
              </a:solidFill>
            </a:rPr>
            <a:t>E</a:t>
          </a:r>
          <a:endParaRPr 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13</xdr:col>
      <xdr:colOff>323850</xdr:colOff>
      <xdr:row>18</xdr:row>
      <xdr:rowOff>161925</xdr:rowOff>
    </xdr:from>
    <xdr:to>
      <xdr:col>14</xdr:col>
      <xdr:colOff>257175</xdr:colOff>
      <xdr:row>21</xdr:row>
      <xdr:rowOff>19050</xdr:rowOff>
    </xdr:to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SpPr txBox="1"/>
      </xdr:nvSpPr>
      <xdr:spPr>
        <a:xfrm>
          <a:off x="11553825" y="4229100"/>
          <a:ext cx="542925" cy="447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800">
              <a:solidFill>
                <a:srgbClr val="FF0000"/>
              </a:solidFill>
            </a:rPr>
            <a:t>F</a:t>
          </a:r>
          <a:endParaRPr 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8</xdr:col>
      <xdr:colOff>561975</xdr:colOff>
      <xdr:row>30</xdr:row>
      <xdr:rowOff>0</xdr:rowOff>
    </xdr:from>
    <xdr:to>
      <xdr:col>9</xdr:col>
      <xdr:colOff>495300</xdr:colOff>
      <xdr:row>32</xdr:row>
      <xdr:rowOff>57150</xdr:rowOff>
    </xdr:to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SpPr txBox="1"/>
      </xdr:nvSpPr>
      <xdr:spPr>
        <a:xfrm>
          <a:off x="8743950" y="6381750"/>
          <a:ext cx="542925" cy="438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800">
              <a:solidFill>
                <a:srgbClr val="FF0000"/>
              </a:solidFill>
            </a:rPr>
            <a:t>G</a:t>
          </a:r>
          <a:endParaRPr 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419101</xdr:colOff>
      <xdr:row>15</xdr:row>
      <xdr:rowOff>104775</xdr:rowOff>
    </xdr:from>
    <xdr:to>
      <xdr:col>10</xdr:col>
      <xdr:colOff>424437</xdr:colOff>
      <xdr:row>29</xdr:row>
      <xdr:rowOff>83720</xdr:rowOff>
    </xdr:to>
    <xdr:cxnSp macro="">
      <xdr:nvCxnSpPr>
        <xdr:cNvPr id="35" name="Straight Arrow Connector 34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CxnSpPr>
          <a:stCxn id="10" idx="0"/>
          <a:endCxn id="12" idx="0"/>
        </xdr:cNvCxnSpPr>
      </xdr:nvCxnSpPr>
      <xdr:spPr>
        <a:xfrm rot="16200000" flipV="1">
          <a:off x="8385671" y="4835030"/>
          <a:ext cx="2874545" cy="5336"/>
        </a:xfrm>
        <a:prstGeom prst="straightConnector1">
          <a:avLst/>
        </a:prstGeom>
        <a:ln>
          <a:solidFill>
            <a:schemeClr val="tx1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9525</xdr:colOff>
      <xdr:row>17</xdr:row>
      <xdr:rowOff>123825</xdr:rowOff>
    </xdr:from>
    <xdr:to>
      <xdr:col>12</xdr:col>
      <xdr:colOff>209550</xdr:colOff>
      <xdr:row>19</xdr:row>
      <xdr:rowOff>171450</xdr:rowOff>
    </xdr:to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SpPr txBox="1"/>
      </xdr:nvSpPr>
      <xdr:spPr>
        <a:xfrm>
          <a:off x="9410700" y="3800475"/>
          <a:ext cx="1419225" cy="638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400">
              <a:solidFill>
                <a:sysClr val="windowText" lastClr="000000"/>
              </a:solidFill>
            </a:rPr>
            <a:t>Max</a:t>
          </a:r>
          <a:r>
            <a:rPr lang="en-US" sz="1400" baseline="0">
              <a:solidFill>
                <a:sysClr val="windowText" lastClr="000000"/>
              </a:solidFill>
            </a:rPr>
            <a:t> Height</a:t>
          </a:r>
          <a:endParaRPr lang="en-US" sz="10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9</xdr:col>
      <xdr:colOff>266700</xdr:colOff>
      <xdr:row>40</xdr:row>
      <xdr:rowOff>180975</xdr:rowOff>
    </xdr:from>
    <xdr:to>
      <xdr:col>11</xdr:col>
      <xdr:colOff>352425</xdr:colOff>
      <xdr:row>42</xdr:row>
      <xdr:rowOff>180975</xdr:rowOff>
    </xdr:to>
    <xdr:grpSp>
      <xdr:nvGrpSpPr>
        <xdr:cNvPr id="5545" name="Group 45">
          <a:extLst>
            <a:ext uri="{FF2B5EF4-FFF2-40B4-BE49-F238E27FC236}">
              <a16:creationId xmlns:a16="http://schemas.microsoft.com/office/drawing/2014/main" id="{00000000-0008-0000-0500-0000A9150000}"/>
            </a:ext>
          </a:extLst>
        </xdr:cNvPr>
        <xdr:cNvGrpSpPr>
          <a:grpSpLocks/>
        </xdr:cNvGrpSpPr>
      </xdr:nvGrpSpPr>
      <xdr:grpSpPr bwMode="auto">
        <a:xfrm>
          <a:off x="9299575" y="7956550"/>
          <a:ext cx="1304925" cy="374650"/>
          <a:chOff x="6829425" y="10477500"/>
          <a:chExt cx="1304924" cy="381000"/>
        </a:xfrm>
      </xdr:grpSpPr>
      <xdr:sp macro="" textlink="">
        <xdr:nvSpPr>
          <xdr:cNvPr id="41" name="Rectangle 40">
            <a:extLst>
              <a:ext uri="{FF2B5EF4-FFF2-40B4-BE49-F238E27FC236}">
                <a16:creationId xmlns:a16="http://schemas.microsoft.com/office/drawing/2014/main" id="{00000000-0008-0000-0500-000029000000}"/>
              </a:ext>
            </a:extLst>
          </xdr:cNvPr>
          <xdr:cNvSpPr/>
        </xdr:nvSpPr>
        <xdr:spPr>
          <a:xfrm>
            <a:off x="6829425" y="10487025"/>
            <a:ext cx="1209674" cy="133350"/>
          </a:xfrm>
          <a:prstGeom prst="rect">
            <a:avLst/>
          </a:prstGeom>
          <a:solidFill>
            <a:schemeClr val="bg1">
              <a:lumMod val="75000"/>
            </a:schemeClr>
          </a:solidFill>
          <a:ln w="6350">
            <a:solidFill>
              <a:schemeClr val="tx1">
                <a:lumMod val="50000"/>
                <a:lumOff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en-US"/>
          </a:p>
        </xdr:txBody>
      </xdr:sp>
      <xdr:sp macro="" textlink="">
        <xdr:nvSpPr>
          <xdr:cNvPr id="42" name="Rectangle 41">
            <a:extLst>
              <a:ext uri="{FF2B5EF4-FFF2-40B4-BE49-F238E27FC236}">
                <a16:creationId xmlns:a16="http://schemas.microsoft.com/office/drawing/2014/main" id="{00000000-0008-0000-0500-00002A000000}"/>
              </a:ext>
            </a:extLst>
          </xdr:cNvPr>
          <xdr:cNvSpPr/>
        </xdr:nvSpPr>
        <xdr:spPr>
          <a:xfrm>
            <a:off x="7124700" y="10620375"/>
            <a:ext cx="847724" cy="152400"/>
          </a:xfrm>
          <a:prstGeom prst="rect">
            <a:avLst/>
          </a:prstGeom>
          <a:solidFill>
            <a:schemeClr val="bg1">
              <a:lumMod val="75000"/>
            </a:schemeClr>
          </a:solidFill>
          <a:ln w="6350">
            <a:solidFill>
              <a:schemeClr val="tx1">
                <a:lumMod val="50000"/>
                <a:lumOff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en-US"/>
          </a:p>
        </xdr:txBody>
      </xdr:sp>
      <xdr:cxnSp macro="">
        <xdr:nvCxnSpPr>
          <xdr:cNvPr id="44" name="Straight Connector 43">
            <a:extLst>
              <a:ext uri="{FF2B5EF4-FFF2-40B4-BE49-F238E27FC236}">
                <a16:creationId xmlns:a16="http://schemas.microsoft.com/office/drawing/2014/main" id="{00000000-0008-0000-0500-00002C000000}"/>
              </a:ext>
            </a:extLst>
          </xdr:cNvPr>
          <xdr:cNvCxnSpPr/>
        </xdr:nvCxnSpPr>
        <xdr:spPr>
          <a:xfrm>
            <a:off x="7286625" y="10477500"/>
            <a:ext cx="514350" cy="0"/>
          </a:xfrm>
          <a:prstGeom prst="line">
            <a:avLst/>
          </a:prstGeom>
          <a:ln w="285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5" name="Rectangle 44">
            <a:extLst>
              <a:ext uri="{FF2B5EF4-FFF2-40B4-BE49-F238E27FC236}">
                <a16:creationId xmlns:a16="http://schemas.microsoft.com/office/drawing/2014/main" id="{00000000-0008-0000-0500-00002D000000}"/>
              </a:ext>
            </a:extLst>
          </xdr:cNvPr>
          <xdr:cNvSpPr/>
        </xdr:nvSpPr>
        <xdr:spPr>
          <a:xfrm>
            <a:off x="6962775" y="10772775"/>
            <a:ext cx="1171574" cy="85725"/>
          </a:xfrm>
          <a:prstGeom prst="rect">
            <a:avLst/>
          </a:prstGeom>
          <a:solidFill>
            <a:schemeClr val="bg1">
              <a:lumMod val="75000"/>
            </a:schemeClr>
          </a:solidFill>
          <a:ln w="6350">
            <a:solidFill>
              <a:schemeClr val="tx1">
                <a:lumMod val="50000"/>
                <a:lumOff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en-US"/>
          </a:p>
        </xdr:txBody>
      </xdr:sp>
    </xdr:grpSp>
    <xdr:clientData/>
  </xdr:twoCellAnchor>
  <xdr:twoCellAnchor>
    <xdr:from>
      <xdr:col>10</xdr:col>
      <xdr:colOff>76200</xdr:colOff>
      <xdr:row>39</xdr:row>
      <xdr:rowOff>95250</xdr:rowOff>
    </xdr:from>
    <xdr:to>
      <xdr:col>11</xdr:col>
      <xdr:colOff>76200</xdr:colOff>
      <xdr:row>40</xdr:row>
      <xdr:rowOff>161925</xdr:rowOff>
    </xdr:to>
    <xdr:sp macro="" textlink="">
      <xdr:nvSpPr>
        <xdr:cNvPr id="47" name="Rectangle 46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SpPr/>
      </xdr:nvSpPr>
      <xdr:spPr>
        <a:xfrm>
          <a:off x="9477375" y="8191500"/>
          <a:ext cx="609600" cy="257175"/>
        </a:xfrm>
        <a:prstGeom prst="rect">
          <a:avLst/>
        </a:prstGeom>
        <a:solidFill>
          <a:schemeClr val="bg1">
            <a:lumMod val="50000"/>
          </a:schemeClr>
        </a:solidFill>
        <a:ln w="6350"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8</xdr:col>
      <xdr:colOff>136255</xdr:colOff>
      <xdr:row>22</xdr:row>
      <xdr:rowOff>122165</xdr:rowOff>
    </xdr:from>
    <xdr:to>
      <xdr:col>14</xdr:col>
      <xdr:colOff>583930</xdr:colOff>
      <xdr:row>31</xdr:row>
      <xdr:rowOff>59086</xdr:rowOff>
    </xdr:to>
    <xdr:sp macro="" textlink="">
      <xdr:nvSpPr>
        <xdr:cNvPr id="663" name="Rectangle 662">
          <a:extLst>
            <a:ext uri="{FF2B5EF4-FFF2-40B4-BE49-F238E27FC236}">
              <a16:creationId xmlns:a16="http://schemas.microsoft.com/office/drawing/2014/main" id="{00000000-0008-0000-0500-000097020000}"/>
            </a:ext>
          </a:extLst>
        </xdr:cNvPr>
        <xdr:cNvSpPr/>
      </xdr:nvSpPr>
      <xdr:spPr>
        <a:xfrm rot="19555969">
          <a:off x="8318230" y="4970390"/>
          <a:ext cx="4105275" cy="1660946"/>
        </a:xfrm>
        <a:prstGeom prst="rect">
          <a:avLst/>
        </a:prstGeom>
        <a:noFill/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10</xdr:col>
      <xdr:colOff>95250</xdr:colOff>
      <xdr:row>28</xdr:row>
      <xdr:rowOff>9525</xdr:rowOff>
    </xdr:from>
    <xdr:to>
      <xdr:col>11</xdr:col>
      <xdr:colOff>76200</xdr:colOff>
      <xdr:row>39</xdr:row>
      <xdr:rowOff>104775</xdr:rowOff>
    </xdr:to>
    <xdr:sp macro="" textlink="">
      <xdr:nvSpPr>
        <xdr:cNvPr id="664" name="Trapezoid 663">
          <a:extLst>
            <a:ext uri="{FF2B5EF4-FFF2-40B4-BE49-F238E27FC236}">
              <a16:creationId xmlns:a16="http://schemas.microsoft.com/office/drawing/2014/main" id="{00000000-0008-0000-0500-000098020000}"/>
            </a:ext>
          </a:extLst>
        </xdr:cNvPr>
        <xdr:cNvSpPr/>
      </xdr:nvSpPr>
      <xdr:spPr>
        <a:xfrm>
          <a:off x="9496425" y="6010275"/>
          <a:ext cx="590550" cy="2190750"/>
        </a:xfrm>
        <a:prstGeom prst="trapezoid">
          <a:avLst/>
        </a:prstGeom>
        <a:solidFill>
          <a:schemeClr val="bg1">
            <a:lumMod val="85000"/>
          </a:schemeClr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5</xdr:col>
      <xdr:colOff>133350</xdr:colOff>
      <xdr:row>20</xdr:row>
      <xdr:rowOff>171450</xdr:rowOff>
    </xdr:from>
    <xdr:to>
      <xdr:col>10</xdr:col>
      <xdr:colOff>338018</xdr:colOff>
      <xdr:row>29</xdr:row>
      <xdr:rowOff>23058</xdr:rowOff>
    </xdr:to>
    <xdr:cxnSp macro="">
      <xdr:nvCxnSpPr>
        <xdr:cNvPr id="665" name="Straight Arrow Connector 664">
          <a:extLst>
            <a:ext uri="{FF2B5EF4-FFF2-40B4-BE49-F238E27FC236}">
              <a16:creationId xmlns:a16="http://schemas.microsoft.com/office/drawing/2014/main" id="{00000000-0008-0000-0500-000099020000}"/>
            </a:ext>
          </a:extLst>
        </xdr:cNvPr>
        <xdr:cNvCxnSpPr/>
      </xdr:nvCxnSpPr>
      <xdr:spPr>
        <a:xfrm rot="10800000">
          <a:off x="6486525" y="4638675"/>
          <a:ext cx="3252668" cy="1575633"/>
        </a:xfrm>
        <a:prstGeom prst="straightConnector1">
          <a:avLst/>
        </a:prstGeom>
        <a:ln>
          <a:solidFill>
            <a:srgbClr val="FF0000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428626</xdr:colOff>
      <xdr:row>20</xdr:row>
      <xdr:rowOff>183823</xdr:rowOff>
    </xdr:from>
    <xdr:to>
      <xdr:col>14</xdr:col>
      <xdr:colOff>231659</xdr:colOff>
      <xdr:row>29</xdr:row>
      <xdr:rowOff>27281</xdr:rowOff>
    </xdr:to>
    <xdr:cxnSp macro="">
      <xdr:nvCxnSpPr>
        <xdr:cNvPr id="666" name="Straight Arrow Connector 665">
          <a:extLst>
            <a:ext uri="{FF2B5EF4-FFF2-40B4-BE49-F238E27FC236}">
              <a16:creationId xmlns:a16="http://schemas.microsoft.com/office/drawing/2014/main" id="{00000000-0008-0000-0500-00009A020000}"/>
            </a:ext>
          </a:extLst>
        </xdr:cNvPr>
        <xdr:cNvCxnSpPr>
          <a:stCxn id="663" idx="3"/>
        </xdr:cNvCxnSpPr>
      </xdr:nvCxnSpPr>
      <xdr:spPr>
        <a:xfrm flipH="1">
          <a:off x="9829801" y="4651048"/>
          <a:ext cx="2241433" cy="1567483"/>
        </a:xfrm>
        <a:prstGeom prst="straightConnector1">
          <a:avLst/>
        </a:prstGeom>
        <a:ln>
          <a:solidFill>
            <a:srgbClr val="FF0000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342900</xdr:colOff>
      <xdr:row>17</xdr:row>
      <xdr:rowOff>304800</xdr:rowOff>
    </xdr:from>
    <xdr:to>
      <xdr:col>14</xdr:col>
      <xdr:colOff>209550</xdr:colOff>
      <xdr:row>21</xdr:row>
      <xdr:rowOff>28575</xdr:rowOff>
    </xdr:to>
    <xdr:cxnSp macro="">
      <xdr:nvCxnSpPr>
        <xdr:cNvPr id="668" name="Straight Arrow Connector 667">
          <a:extLst>
            <a:ext uri="{FF2B5EF4-FFF2-40B4-BE49-F238E27FC236}">
              <a16:creationId xmlns:a16="http://schemas.microsoft.com/office/drawing/2014/main" id="{00000000-0008-0000-0500-00009C020000}"/>
            </a:ext>
          </a:extLst>
        </xdr:cNvPr>
        <xdr:cNvCxnSpPr/>
      </xdr:nvCxnSpPr>
      <xdr:spPr>
        <a:xfrm rot="16200000" flipH="1">
          <a:off x="11458575" y="4095750"/>
          <a:ext cx="704850" cy="476250"/>
        </a:xfrm>
        <a:prstGeom prst="straightConnector1">
          <a:avLst/>
        </a:prstGeom>
        <a:ln>
          <a:solidFill>
            <a:srgbClr val="FF0000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257175</xdr:colOff>
      <xdr:row>40</xdr:row>
      <xdr:rowOff>171450</xdr:rowOff>
    </xdr:from>
    <xdr:to>
      <xdr:col>12</xdr:col>
      <xdr:colOff>276225</xdr:colOff>
      <xdr:row>40</xdr:row>
      <xdr:rowOff>171450</xdr:rowOff>
    </xdr:to>
    <xdr:cxnSp macro="">
      <xdr:nvCxnSpPr>
        <xdr:cNvPr id="671" name="Straight Connector 670">
          <a:extLst>
            <a:ext uri="{FF2B5EF4-FFF2-40B4-BE49-F238E27FC236}">
              <a16:creationId xmlns:a16="http://schemas.microsoft.com/office/drawing/2014/main" id="{00000000-0008-0000-0500-00009F020000}"/>
            </a:ext>
          </a:extLst>
        </xdr:cNvPr>
        <xdr:cNvCxnSpPr/>
      </xdr:nvCxnSpPr>
      <xdr:spPr>
        <a:xfrm>
          <a:off x="10267950" y="8458200"/>
          <a:ext cx="628650" cy="0"/>
        </a:xfrm>
        <a:prstGeom prst="line">
          <a:avLst/>
        </a:prstGeom>
        <a:ln>
          <a:solidFill>
            <a:srgbClr val="FF000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257175</xdr:colOff>
      <xdr:row>42</xdr:row>
      <xdr:rowOff>180975</xdr:rowOff>
    </xdr:from>
    <xdr:to>
      <xdr:col>12</xdr:col>
      <xdr:colOff>276225</xdr:colOff>
      <xdr:row>42</xdr:row>
      <xdr:rowOff>180975</xdr:rowOff>
    </xdr:to>
    <xdr:cxnSp macro="">
      <xdr:nvCxnSpPr>
        <xdr:cNvPr id="672" name="Straight Connector 671">
          <a:extLst>
            <a:ext uri="{FF2B5EF4-FFF2-40B4-BE49-F238E27FC236}">
              <a16:creationId xmlns:a16="http://schemas.microsoft.com/office/drawing/2014/main" id="{00000000-0008-0000-0500-0000A0020000}"/>
            </a:ext>
          </a:extLst>
        </xdr:cNvPr>
        <xdr:cNvCxnSpPr/>
      </xdr:nvCxnSpPr>
      <xdr:spPr>
        <a:xfrm>
          <a:off x="10267950" y="8848725"/>
          <a:ext cx="628650" cy="0"/>
        </a:xfrm>
        <a:prstGeom prst="line">
          <a:avLst/>
        </a:prstGeom>
        <a:ln>
          <a:solidFill>
            <a:srgbClr val="FF000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419100</xdr:colOff>
      <xdr:row>29</xdr:row>
      <xdr:rowOff>19050</xdr:rowOff>
    </xdr:from>
    <xdr:to>
      <xdr:col>12</xdr:col>
      <xdr:colOff>152400</xdr:colOff>
      <xdr:row>29</xdr:row>
      <xdr:rowOff>19050</xdr:rowOff>
    </xdr:to>
    <xdr:cxnSp macro="">
      <xdr:nvCxnSpPr>
        <xdr:cNvPr id="673" name="Straight Connector 672">
          <a:extLst>
            <a:ext uri="{FF2B5EF4-FFF2-40B4-BE49-F238E27FC236}">
              <a16:creationId xmlns:a16="http://schemas.microsoft.com/office/drawing/2014/main" id="{00000000-0008-0000-0500-0000A1020000}"/>
            </a:ext>
          </a:extLst>
        </xdr:cNvPr>
        <xdr:cNvCxnSpPr/>
      </xdr:nvCxnSpPr>
      <xdr:spPr>
        <a:xfrm>
          <a:off x="9820275" y="6210300"/>
          <a:ext cx="952500" cy="0"/>
        </a:xfrm>
        <a:prstGeom prst="line">
          <a:avLst/>
        </a:prstGeom>
        <a:ln>
          <a:solidFill>
            <a:srgbClr val="FF000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485776</xdr:colOff>
      <xdr:row>29</xdr:row>
      <xdr:rowOff>28575</xdr:rowOff>
    </xdr:from>
    <xdr:to>
      <xdr:col>11</xdr:col>
      <xdr:colOff>490539</xdr:colOff>
      <xdr:row>34</xdr:row>
      <xdr:rowOff>19050</xdr:rowOff>
    </xdr:to>
    <xdr:cxnSp macro="">
      <xdr:nvCxnSpPr>
        <xdr:cNvPr id="676" name="Straight Arrow Connector 675">
          <a:extLst>
            <a:ext uri="{FF2B5EF4-FFF2-40B4-BE49-F238E27FC236}">
              <a16:creationId xmlns:a16="http://schemas.microsoft.com/office/drawing/2014/main" id="{00000000-0008-0000-0500-0000A4020000}"/>
            </a:ext>
          </a:extLst>
        </xdr:cNvPr>
        <xdr:cNvCxnSpPr/>
      </xdr:nvCxnSpPr>
      <xdr:spPr>
        <a:xfrm rot="16200000" flipV="1">
          <a:off x="10027445" y="6688931"/>
          <a:ext cx="942975" cy="4763"/>
        </a:xfrm>
        <a:prstGeom prst="straightConnector1">
          <a:avLst/>
        </a:prstGeom>
        <a:ln>
          <a:solidFill>
            <a:srgbClr val="FF0000"/>
          </a:solidFill>
          <a:prstDash val="solid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495301</xdr:colOff>
      <xdr:row>36</xdr:row>
      <xdr:rowOff>28574</xdr:rowOff>
    </xdr:from>
    <xdr:to>
      <xdr:col>11</xdr:col>
      <xdr:colOff>504825</xdr:colOff>
      <xdr:row>40</xdr:row>
      <xdr:rowOff>161928</xdr:rowOff>
    </xdr:to>
    <xdr:cxnSp macro="">
      <xdr:nvCxnSpPr>
        <xdr:cNvPr id="677" name="Straight Arrow Connector 676">
          <a:extLst>
            <a:ext uri="{FF2B5EF4-FFF2-40B4-BE49-F238E27FC236}">
              <a16:creationId xmlns:a16="http://schemas.microsoft.com/office/drawing/2014/main" id="{00000000-0008-0000-0500-0000A5020000}"/>
            </a:ext>
          </a:extLst>
        </xdr:cNvPr>
        <xdr:cNvCxnSpPr/>
      </xdr:nvCxnSpPr>
      <xdr:spPr>
        <a:xfrm rot="16200000" flipH="1">
          <a:off x="10063161" y="7996239"/>
          <a:ext cx="895354" cy="9524"/>
        </a:xfrm>
        <a:prstGeom prst="straightConnector1">
          <a:avLst/>
        </a:prstGeom>
        <a:ln w="6350">
          <a:solidFill>
            <a:srgbClr val="FF0000"/>
          </a:solidFill>
          <a:prstDash val="solid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9525</xdr:colOff>
      <xdr:row>29</xdr:row>
      <xdr:rowOff>59998</xdr:rowOff>
    </xdr:from>
    <xdr:to>
      <xdr:col>10</xdr:col>
      <xdr:colOff>336435</xdr:colOff>
      <xdr:row>35</xdr:row>
      <xdr:rowOff>0</xdr:rowOff>
    </xdr:to>
    <xdr:cxnSp macro="">
      <xdr:nvCxnSpPr>
        <xdr:cNvPr id="43" name="Straight Arrow Connector 42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CxnSpPr/>
      </xdr:nvCxnSpPr>
      <xdr:spPr>
        <a:xfrm rot="10800000" flipV="1">
          <a:off x="8191500" y="6251248"/>
          <a:ext cx="1546110" cy="1083002"/>
        </a:xfrm>
        <a:prstGeom prst="straightConnector1">
          <a:avLst/>
        </a:prstGeom>
        <a:ln>
          <a:solidFill>
            <a:srgbClr val="FF0000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.xml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comments" Target="../comments1.xml"/><Relationship Id="rId5" Type="http://schemas.openxmlformats.org/officeDocument/2006/relationships/image" Target="../media/image1.emf"/><Relationship Id="rId10" Type="http://schemas.openxmlformats.org/officeDocument/2006/relationships/ctrlProp" Target="../ctrlProps/ctrlProp3.xml"/><Relationship Id="rId4" Type="http://schemas.openxmlformats.org/officeDocument/2006/relationships/oleObject" Target="../embeddings/oleObject1.bin"/><Relationship Id="rId9" Type="http://schemas.openxmlformats.org/officeDocument/2006/relationships/ctrlProp" Target="../ctrlProps/ctrlProp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comments" Target="../comments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6.xml"/><Relationship Id="rId5" Type="http://schemas.openxmlformats.org/officeDocument/2006/relationships/ctrlProp" Target="../ctrlProps/ctrlProp5.xml"/><Relationship Id="rId4" Type="http://schemas.openxmlformats.org/officeDocument/2006/relationships/ctrlProp" Target="../ctrlProps/ctrlProp4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7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Relationship Id="rId6" Type="http://schemas.openxmlformats.org/officeDocument/2006/relationships/comments" Target="../comments3.xml"/><Relationship Id="rId5" Type="http://schemas.openxmlformats.org/officeDocument/2006/relationships/ctrlProp" Target="../ctrlProps/ctrlProp9.xml"/><Relationship Id="rId4" Type="http://schemas.openxmlformats.org/officeDocument/2006/relationships/ctrlProp" Target="../ctrlProps/ctrlProp8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P85"/>
  <sheetViews>
    <sheetView zoomScaleNormal="100" workbookViewId="0">
      <selection activeCell="B5" sqref="B5"/>
    </sheetView>
  </sheetViews>
  <sheetFormatPr defaultRowHeight="15" x14ac:dyDescent="0.25"/>
  <cols>
    <col min="1" max="1" width="3.140625" customWidth="1"/>
    <col min="2" max="2" width="53.42578125" customWidth="1"/>
    <col min="4" max="4" width="11.42578125" customWidth="1"/>
    <col min="5" max="5" width="10.5703125" customWidth="1"/>
    <col min="9" max="9" width="8.7109375" customWidth="1"/>
    <col min="13" max="13" width="17.42578125" customWidth="1"/>
    <col min="16" max="16" width="13.85546875" style="52" bestFit="1" customWidth="1"/>
  </cols>
  <sheetData>
    <row r="1" spans="1:16" ht="30.95" customHeight="1" x14ac:dyDescent="0.35">
      <c r="A1" s="40">
        <v>1</v>
      </c>
      <c r="B1" s="34" t="s">
        <v>87</v>
      </c>
    </row>
    <row r="2" spans="1:16" ht="27.75" customHeight="1" thickBot="1" x14ac:dyDescent="0.4">
      <c r="A2" s="40">
        <v>2</v>
      </c>
      <c r="B2" s="34" t="s">
        <v>88</v>
      </c>
    </row>
    <row r="3" spans="1:16" ht="15.75" thickBot="1" x14ac:dyDescent="0.3">
      <c r="B3" s="16" t="s">
        <v>96</v>
      </c>
      <c r="D3" s="41" t="s">
        <v>30</v>
      </c>
      <c r="E3" s="41"/>
    </row>
    <row r="4" spans="1:16" x14ac:dyDescent="0.25">
      <c r="D4" t="s">
        <v>2</v>
      </c>
      <c r="E4" t="s">
        <v>3</v>
      </c>
    </row>
    <row r="5" spans="1:16" x14ac:dyDescent="0.25">
      <c r="B5" t="s">
        <v>38</v>
      </c>
      <c r="C5" s="35">
        <f>INDEX(Aperture,A1)</f>
        <v>12.5</v>
      </c>
      <c r="D5" s="30">
        <f>C5*COS(C16*PI()/180)</f>
        <v>12.3100969126526</v>
      </c>
      <c r="E5" s="30">
        <f>C5*SIN(C16*PI()/180)</f>
        <v>2.1706022208366291</v>
      </c>
      <c r="P5" s="53"/>
    </row>
    <row r="6" spans="1:16" x14ac:dyDescent="0.25">
      <c r="B6" t="s">
        <v>97</v>
      </c>
      <c r="C6" s="35">
        <f>INDEX(A,A2)</f>
        <v>5.3</v>
      </c>
      <c r="D6" s="29">
        <f>0</f>
        <v>0</v>
      </c>
      <c r="E6" s="29">
        <f>C6</f>
        <v>5.3</v>
      </c>
    </row>
    <row r="7" spans="1:16" x14ac:dyDescent="0.25">
      <c r="B7" t="s">
        <v>98</v>
      </c>
      <c r="C7" s="35">
        <f>INDEX(B,A2)</f>
        <v>10.6</v>
      </c>
      <c r="D7" s="30">
        <f>C7*COS(C15*PI()/180)</f>
        <v>8.6830116694633119</v>
      </c>
      <c r="E7" s="30">
        <f>C7*SIN(C15*PI()/180)</f>
        <v>6.0799102253210879</v>
      </c>
    </row>
    <row r="8" spans="1:16" x14ac:dyDescent="0.25">
      <c r="B8" t="s">
        <v>99</v>
      </c>
      <c r="C8" s="35">
        <f>INDEX(C_,A2)</f>
        <v>6.75</v>
      </c>
      <c r="D8" s="30">
        <f>C8*COS((90-C15)*PI()/180)</f>
        <v>3.8716409453695615</v>
      </c>
      <c r="E8" s="30">
        <f>C8*SIN((90-C15)*PI()/180)</f>
        <v>5.5292762989506947</v>
      </c>
    </row>
    <row r="9" spans="1:16" x14ac:dyDescent="0.25">
      <c r="B9" t="s">
        <v>100</v>
      </c>
      <c r="C9" s="35">
        <f>INDEX(D,A1)</f>
        <v>8.6199999999999992</v>
      </c>
      <c r="D9" s="30">
        <f>C9*COS((90-C15)*PI()/180)</f>
        <v>4.9442288813460173</v>
      </c>
      <c r="E9" s="30">
        <f>C9*SIN((90-C15)*PI()/180)</f>
        <v>7.0610906217711085</v>
      </c>
    </row>
    <row r="10" spans="1:16" x14ac:dyDescent="0.25">
      <c r="B10" t="s">
        <v>101</v>
      </c>
      <c r="C10" s="35">
        <f>INDEX(E,A1)</f>
        <v>28</v>
      </c>
      <c r="D10" s="30">
        <f>C10*COS(C15*PI()/180)</f>
        <v>22.93625724009177</v>
      </c>
      <c r="E10" s="30">
        <f>C10*SIN(C15*PI()/180)</f>
        <v>16.060140217829289</v>
      </c>
    </row>
    <row r="11" spans="1:16" x14ac:dyDescent="0.25">
      <c r="B11" t="s">
        <v>102</v>
      </c>
      <c r="C11" s="35">
        <f>INDEX(F,A1)</f>
        <v>7.5</v>
      </c>
      <c r="D11" s="30">
        <f>C11*COS(C15*PI()/180)</f>
        <v>6.1436403321674389</v>
      </c>
      <c r="E11" s="30">
        <f>C11*SIN(C15*PI()/180)</f>
        <v>4.3018232726328449</v>
      </c>
      <c r="P11" s="53"/>
    </row>
    <row r="12" spans="1:16" x14ac:dyDescent="0.25">
      <c r="B12" t="s">
        <v>103</v>
      </c>
      <c r="C12" s="35">
        <f>INDEX(G,A1)</f>
        <v>18</v>
      </c>
      <c r="D12" s="30">
        <f>-C12*COS(C15*PI()/180)</f>
        <v>-14.744736797201853</v>
      </c>
      <c r="E12" s="30">
        <f>-C12*SIN(C15*PI()/180)</f>
        <v>-10.324375854318829</v>
      </c>
    </row>
    <row r="13" spans="1:16" ht="15.75" thickBot="1" x14ac:dyDescent="0.3">
      <c r="B13" t="s">
        <v>161</v>
      </c>
      <c r="C13" s="35">
        <f>INDEX(I,A2)</f>
        <v>0</v>
      </c>
      <c r="D13" s="30"/>
      <c r="E13" s="30">
        <f>$C$13*COS($C$15*PI()/180)</f>
        <v>0</v>
      </c>
    </row>
    <row r="14" spans="1:16" ht="15.75" thickBot="1" x14ac:dyDescent="0.3">
      <c r="B14" s="44" t="s">
        <v>104</v>
      </c>
      <c r="C14" s="45"/>
      <c r="D14" s="45"/>
      <c r="E14" s="46"/>
    </row>
    <row r="15" spans="1:16" x14ac:dyDescent="0.25">
      <c r="B15" t="s">
        <v>1</v>
      </c>
      <c r="C15" s="5">
        <v>35</v>
      </c>
      <c r="D15" t="s">
        <v>5</v>
      </c>
    </row>
    <row r="16" spans="1:16" x14ac:dyDescent="0.25">
      <c r="B16" t="s">
        <v>8</v>
      </c>
      <c r="C16" s="5">
        <v>10</v>
      </c>
      <c r="D16" t="s">
        <v>7</v>
      </c>
    </row>
    <row r="17" spans="2:16" x14ac:dyDescent="0.25">
      <c r="B17" t="s">
        <v>9</v>
      </c>
      <c r="C17" s="5">
        <v>48</v>
      </c>
      <c r="D17" t="s">
        <v>6</v>
      </c>
      <c r="E17" s="1"/>
    </row>
    <row r="18" spans="2:16" x14ac:dyDescent="0.25">
      <c r="B18" t="s">
        <v>105</v>
      </c>
      <c r="C18" s="5">
        <v>6</v>
      </c>
      <c r="D18" t="s">
        <v>6</v>
      </c>
      <c r="E18" s="1"/>
    </row>
    <row r="19" spans="2:16" ht="15.75" thickBot="1" x14ac:dyDescent="0.3">
      <c r="E19" s="1"/>
    </row>
    <row r="20" spans="2:16" ht="15.75" thickBot="1" x14ac:dyDescent="0.3">
      <c r="B20" s="47" t="s">
        <v>4</v>
      </c>
      <c r="C20" s="48"/>
      <c r="D20" s="48"/>
      <c r="E20" s="49"/>
    </row>
    <row r="21" spans="2:16" x14ac:dyDescent="0.25">
      <c r="B21" t="s">
        <v>106</v>
      </c>
      <c r="C21" s="10">
        <v>31.961388509191675</v>
      </c>
      <c r="D21" t="s">
        <v>6</v>
      </c>
      <c r="E21" s="32"/>
    </row>
    <row r="22" spans="2:16" ht="33" customHeight="1" x14ac:dyDescent="0.25">
      <c r="B22" s="43" t="s">
        <v>107</v>
      </c>
      <c r="C22" s="51">
        <f>C21-C18</f>
        <v>25.961388509191675</v>
      </c>
      <c r="D22" s="50" t="s">
        <v>6</v>
      </c>
      <c r="E22" s="32"/>
    </row>
    <row r="23" spans="2:16" ht="24.6" customHeight="1" thickBot="1" x14ac:dyDescent="0.3">
      <c r="B23" t="s">
        <v>32</v>
      </c>
      <c r="C23" s="19">
        <f>C74-C17</f>
        <v>-4.6587012654872382</v>
      </c>
      <c r="D23" t="s">
        <v>29</v>
      </c>
      <c r="E23" s="1"/>
      <c r="P23"/>
    </row>
    <row r="24" spans="2:16" x14ac:dyDescent="0.25">
      <c r="P24"/>
    </row>
    <row r="25" spans="2:16" x14ac:dyDescent="0.25">
      <c r="B25" s="56" t="s">
        <v>10</v>
      </c>
      <c r="C25" s="11">
        <f>E6+E7+E8+E9+E10+E11+C21</f>
        <v>76.293629145696698</v>
      </c>
      <c r="D25" s="1" t="s">
        <v>13</v>
      </c>
      <c r="P25"/>
    </row>
    <row r="26" spans="2:16" x14ac:dyDescent="0.25">
      <c r="B26" t="s">
        <v>11</v>
      </c>
      <c r="C26" s="13">
        <f>C17+C16*12/2</f>
        <v>108</v>
      </c>
      <c r="D26" t="s">
        <v>13</v>
      </c>
      <c r="P26"/>
    </row>
    <row r="27" spans="2:16" x14ac:dyDescent="0.25">
      <c r="B27" t="s">
        <v>12</v>
      </c>
      <c r="C27" s="11">
        <f>C17+C70-C25</f>
        <v>29.408296065298529</v>
      </c>
      <c r="D27" s="1" t="s">
        <v>13</v>
      </c>
      <c r="P27"/>
    </row>
    <row r="28" spans="2:16" x14ac:dyDescent="0.25">
      <c r="B28" t="s">
        <v>37</v>
      </c>
      <c r="C28" s="11">
        <f>C78</f>
        <v>10.304486292752431</v>
      </c>
      <c r="D28" s="1" t="s">
        <v>28</v>
      </c>
      <c r="P28"/>
    </row>
    <row r="29" spans="2:16" x14ac:dyDescent="0.25">
      <c r="B29" t="s">
        <v>36</v>
      </c>
      <c r="C29" s="11">
        <f>C85</f>
        <v>5.1232741199845329</v>
      </c>
      <c r="D29" s="1" t="s">
        <v>28</v>
      </c>
      <c r="P29"/>
    </row>
    <row r="30" spans="2:16" ht="15.75" thickBot="1" x14ac:dyDescent="0.3">
      <c r="B30" t="s">
        <v>117</v>
      </c>
      <c r="C30" s="12">
        <f>C21+C6+E7+C11</f>
        <v>50.841298734512762</v>
      </c>
      <c r="D30" s="1" t="s">
        <v>13</v>
      </c>
      <c r="E30">
        <f>C30/12</f>
        <v>4.2367748945427302</v>
      </c>
      <c r="P30"/>
    </row>
    <row r="31" spans="2:16" x14ac:dyDescent="0.25">
      <c r="C31" s="1"/>
      <c r="D31" s="1"/>
      <c r="P31"/>
    </row>
    <row r="32" spans="2:16" ht="15.75" thickBot="1" x14ac:dyDescent="0.3">
      <c r="B32" s="7" t="s">
        <v>25</v>
      </c>
      <c r="P32"/>
    </row>
    <row r="33" spans="2:16" x14ac:dyDescent="0.25">
      <c r="B33" t="s">
        <v>18</v>
      </c>
      <c r="C33" s="10">
        <f>D7+1.5</f>
        <v>10.183011669463312</v>
      </c>
      <c r="D33" s="1" t="s">
        <v>13</v>
      </c>
      <c r="P33"/>
    </row>
    <row r="34" spans="2:16" x14ac:dyDescent="0.25">
      <c r="B34" t="s">
        <v>19</v>
      </c>
      <c r="C34" s="11">
        <f>((C8+C9+C11)^2+(C10)^2)^0.5</f>
        <v>36.152965300235053</v>
      </c>
      <c r="D34" s="1" t="s">
        <v>13</v>
      </c>
      <c r="P34"/>
    </row>
    <row r="35" spans="2:16" x14ac:dyDescent="0.25">
      <c r="B35" t="s">
        <v>20</v>
      </c>
      <c r="C35" s="11">
        <f>((C8+C9+C11)^2+(C10)^2)^0.5</f>
        <v>36.152965300235053</v>
      </c>
      <c r="D35" s="1" t="s">
        <v>13</v>
      </c>
      <c r="P35"/>
    </row>
    <row r="36" spans="2:16" x14ac:dyDescent="0.25">
      <c r="B36" t="s">
        <v>22</v>
      </c>
      <c r="C36" s="11">
        <f>C16*12/2-C34</f>
        <v>23.847034699764947</v>
      </c>
      <c r="D36" s="1" t="s">
        <v>13</v>
      </c>
      <c r="P36"/>
    </row>
    <row r="37" spans="2:16" ht="15.75" thickBot="1" x14ac:dyDescent="0.3">
      <c r="B37" t="s">
        <v>23</v>
      </c>
      <c r="C37" s="12">
        <f>C16*12/2-C35</f>
        <v>23.847034699764947</v>
      </c>
      <c r="D37" s="1" t="s">
        <v>13</v>
      </c>
      <c r="P37"/>
    </row>
    <row r="38" spans="2:16" x14ac:dyDescent="0.25">
      <c r="P38"/>
    </row>
    <row r="39" spans="2:16" ht="15.75" thickBot="1" x14ac:dyDescent="0.3">
      <c r="B39" s="7" t="s">
        <v>21</v>
      </c>
      <c r="P39"/>
    </row>
    <row r="40" spans="2:16" x14ac:dyDescent="0.25">
      <c r="B40" t="s">
        <v>18</v>
      </c>
      <c r="C40" s="14">
        <v>0</v>
      </c>
    </row>
    <row r="41" spans="2:16" x14ac:dyDescent="0.25">
      <c r="B41" t="s">
        <v>19</v>
      </c>
      <c r="C41" s="11">
        <f>((C8+C9+C11)^2+(C10+C33)^2)^0.5</f>
        <v>44.508193404702141</v>
      </c>
      <c r="D41" t="s">
        <v>13</v>
      </c>
      <c r="E41">
        <f>C41/12</f>
        <v>3.7090161170585119</v>
      </c>
    </row>
    <row r="42" spans="2:16" x14ac:dyDescent="0.25">
      <c r="B42" t="s">
        <v>20</v>
      </c>
      <c r="C42" s="11">
        <f>((C8+C9+C11)^2+(C10-C33)^2)^0.5</f>
        <v>28.991067127142465</v>
      </c>
      <c r="D42" t="s">
        <v>13</v>
      </c>
    </row>
    <row r="43" spans="2:16" x14ac:dyDescent="0.25">
      <c r="B43" t="s">
        <v>22</v>
      </c>
      <c r="C43" s="11">
        <f>C16*12/2-C41</f>
        <v>15.491806595297859</v>
      </c>
      <c r="D43" t="s">
        <v>13</v>
      </c>
    </row>
    <row r="44" spans="2:16" x14ac:dyDescent="0.25">
      <c r="B44" t="s">
        <v>23</v>
      </c>
      <c r="C44" s="11">
        <f>C16*12/2-C42</f>
        <v>31.008932872857535</v>
      </c>
      <c r="D44" t="s">
        <v>13</v>
      </c>
    </row>
    <row r="45" spans="2:16" ht="15.75" thickBot="1" x14ac:dyDescent="0.3">
      <c r="B45" t="s">
        <v>63</v>
      </c>
      <c r="C45" s="31">
        <f>C8+C9+C11</f>
        <v>22.869999999999997</v>
      </c>
      <c r="D45" t="s">
        <v>13</v>
      </c>
      <c r="E45">
        <f>C45/12</f>
        <v>1.905833333333333</v>
      </c>
    </row>
    <row r="46" spans="2:16" ht="15.75" thickBot="1" x14ac:dyDescent="0.3"/>
    <row r="47" spans="2:16" x14ac:dyDescent="0.25">
      <c r="B47" s="7" t="s">
        <v>67</v>
      </c>
      <c r="C47" s="14" t="s">
        <v>74</v>
      </c>
      <c r="D47" s="36" t="s">
        <v>75</v>
      </c>
    </row>
    <row r="48" spans="2:16" x14ac:dyDescent="0.25">
      <c r="B48" t="s">
        <v>68</v>
      </c>
      <c r="C48" s="11">
        <f>C21+C62+C63+C64+C67</f>
        <v>45.607289800915737</v>
      </c>
      <c r="D48" s="11">
        <f>C48/12</f>
        <v>3.8006074834096446</v>
      </c>
    </row>
    <row r="49" spans="2:4" x14ac:dyDescent="0.25">
      <c r="B49" t="s">
        <v>69</v>
      </c>
      <c r="C49" s="11">
        <f>C21+C62+C63+C64</f>
        <v>55.931665655234568</v>
      </c>
      <c r="D49" s="11">
        <f>C49/12</f>
        <v>4.6609721379362137</v>
      </c>
    </row>
    <row r="50" spans="2:4" x14ac:dyDescent="0.25">
      <c r="B50" t="s">
        <v>70</v>
      </c>
      <c r="C50" s="11">
        <f>C21+C62+C63</f>
        <v>43.341298734512762</v>
      </c>
      <c r="D50" s="11">
        <f>C50/12</f>
        <v>3.6117748945427302</v>
      </c>
    </row>
    <row r="51" spans="2:4" x14ac:dyDescent="0.25">
      <c r="B51" t="s">
        <v>71</v>
      </c>
      <c r="C51" s="11">
        <f>C21+C62+C63+C67</f>
        <v>33.016922880193931</v>
      </c>
      <c r="D51" s="11">
        <f>C51/12</f>
        <v>2.7514102400161611</v>
      </c>
    </row>
    <row r="52" spans="2:4" x14ac:dyDescent="0.25">
      <c r="C52" s="13"/>
      <c r="D52" s="13"/>
    </row>
    <row r="53" spans="2:4" x14ac:dyDescent="0.25">
      <c r="B53" s="7" t="s">
        <v>72</v>
      </c>
      <c r="C53" s="13" t="s">
        <v>74</v>
      </c>
      <c r="D53" s="37" t="s">
        <v>75</v>
      </c>
    </row>
    <row r="54" spans="2:4" x14ac:dyDescent="0.25">
      <c r="B54" s="56" t="s">
        <v>68</v>
      </c>
      <c r="C54" s="11">
        <f>C21+C62+C63+C64+C65+C66</f>
        <v>76.293629145696698</v>
      </c>
      <c r="D54" s="11">
        <f>C54/12</f>
        <v>6.3578024288080579</v>
      </c>
    </row>
    <row r="55" spans="2:4" ht="15.75" thickBot="1" x14ac:dyDescent="0.3">
      <c r="B55" t="s">
        <v>73</v>
      </c>
      <c r="C55" s="12">
        <f>C21+C62+C63+C11</f>
        <v>50.841298734512762</v>
      </c>
      <c r="D55" s="12">
        <f>C55/12</f>
        <v>4.2367748945427302</v>
      </c>
    </row>
    <row r="57" spans="2:4" ht="15.75" thickBot="1" x14ac:dyDescent="0.3">
      <c r="B57" s="7" t="s">
        <v>128</v>
      </c>
      <c r="C57" t="s">
        <v>123</v>
      </c>
    </row>
    <row r="58" spans="2:4" ht="15.75" thickBot="1" x14ac:dyDescent="0.3">
      <c r="B58" s="54" t="s">
        <v>124</v>
      </c>
      <c r="C58" s="55">
        <f>$C$13*COS($C$15*PI()/180)-$D$7-$C$6</f>
        <v>-13.983011669463313</v>
      </c>
      <c r="D58" s="54"/>
    </row>
    <row r="61" spans="2:4" x14ac:dyDescent="0.25">
      <c r="B61" s="38" t="s">
        <v>76</v>
      </c>
      <c r="C61" s="39" t="s">
        <v>6</v>
      </c>
    </row>
    <row r="62" spans="2:4" x14ac:dyDescent="0.25">
      <c r="B62" s="29" t="s">
        <v>97</v>
      </c>
      <c r="C62" s="30">
        <f>C6</f>
        <v>5.3</v>
      </c>
      <c r="D62" s="29"/>
    </row>
    <row r="63" spans="2:4" x14ac:dyDescent="0.25">
      <c r="B63" s="29" t="s">
        <v>118</v>
      </c>
      <c r="C63" s="30">
        <f>C7*SIN((C15)*PI()/180)</f>
        <v>6.0799102253210879</v>
      </c>
      <c r="D63" s="29"/>
    </row>
    <row r="64" spans="2:4" x14ac:dyDescent="0.25">
      <c r="B64" s="29" t="s">
        <v>119</v>
      </c>
      <c r="C64" s="30">
        <f>(C8+C9)*SIN((90-C15)*PI()/180)</f>
        <v>12.590366920721804</v>
      </c>
      <c r="D64" s="29"/>
    </row>
    <row r="65" spans="2:15" x14ac:dyDescent="0.25">
      <c r="B65" s="29" t="s">
        <v>120</v>
      </c>
      <c r="C65" s="30">
        <f>C10*SIN(C15*PI()/180)</f>
        <v>16.060140217829289</v>
      </c>
      <c r="D65" s="29"/>
    </row>
    <row r="66" spans="2:15" x14ac:dyDescent="0.25">
      <c r="B66" s="29" t="s">
        <v>121</v>
      </c>
      <c r="C66" s="30">
        <f>C11*SIN((C15)*PI()/180)</f>
        <v>4.3018232726328449</v>
      </c>
      <c r="D66" s="29"/>
    </row>
    <row r="67" spans="2:15" x14ac:dyDescent="0.25">
      <c r="B67" s="29" t="s">
        <v>122</v>
      </c>
      <c r="C67" s="30">
        <f>-C12*SIN(C15*PI()/180)</f>
        <v>-10.324375854318829</v>
      </c>
      <c r="D67" s="29"/>
    </row>
    <row r="68" spans="2:15" x14ac:dyDescent="0.25">
      <c r="B68" s="7" t="s">
        <v>24</v>
      </c>
    </row>
    <row r="69" spans="2:15" x14ac:dyDescent="0.25">
      <c r="B69" s="9" t="s">
        <v>15</v>
      </c>
      <c r="C69" s="3">
        <f>D7-D8-D9+D10-D11</f>
        <v>16.659758750672065</v>
      </c>
      <c r="O69" s="1"/>
    </row>
    <row r="70" spans="2:15" x14ac:dyDescent="0.25">
      <c r="B70" s="9" t="s">
        <v>16</v>
      </c>
      <c r="C70" s="3">
        <f>C16*12/2*COS(C69/(C16/2*12))</f>
        <v>57.701925210995235</v>
      </c>
    </row>
    <row r="71" spans="2:15" x14ac:dyDescent="0.25">
      <c r="B71" s="9" t="s">
        <v>39</v>
      </c>
      <c r="C71" s="3">
        <f>C5/2</f>
        <v>6.25</v>
      </c>
    </row>
    <row r="73" spans="2:15" x14ac:dyDescent="0.25">
      <c r="B73" s="7" t="s">
        <v>33</v>
      </c>
    </row>
    <row r="74" spans="2:15" x14ac:dyDescent="0.25">
      <c r="B74" s="2" t="s">
        <v>26</v>
      </c>
      <c r="C74" s="3">
        <f>E6+E7+C21</f>
        <v>43.341298734512762</v>
      </c>
    </row>
    <row r="75" spans="2:15" x14ac:dyDescent="0.25">
      <c r="B75" s="2" t="s">
        <v>40</v>
      </c>
      <c r="C75" s="3">
        <f>C71-(C74-C17)</f>
        <v>10.908701265487238</v>
      </c>
      <c r="E75" s="1"/>
    </row>
    <row r="76" spans="2:15" x14ac:dyDescent="0.25">
      <c r="B76" s="2" t="s">
        <v>27</v>
      </c>
      <c r="C76" s="2">
        <f>C16/2*12</f>
        <v>60</v>
      </c>
    </row>
    <row r="77" spans="2:15" x14ac:dyDescent="0.25">
      <c r="B77" s="2" t="s">
        <v>41</v>
      </c>
      <c r="C77" s="2">
        <f>ATAN(C75/C76)</f>
        <v>0.17984721353515423</v>
      </c>
    </row>
    <row r="78" spans="2:15" x14ac:dyDescent="0.25">
      <c r="B78" s="2" t="s">
        <v>42</v>
      </c>
      <c r="C78" s="2">
        <f>C77*180/PI()</f>
        <v>10.304486292752431</v>
      </c>
      <c r="D78" t="s">
        <v>28</v>
      </c>
    </row>
    <row r="80" spans="2:15" x14ac:dyDescent="0.25">
      <c r="B80" s="17" t="s">
        <v>34</v>
      </c>
    </row>
    <row r="81" spans="2:4" x14ac:dyDescent="0.25">
      <c r="B81" s="2" t="s">
        <v>35</v>
      </c>
      <c r="C81" s="3">
        <f>E6+E7+E8+C21</f>
        <v>48.870575033463453</v>
      </c>
    </row>
    <row r="82" spans="2:4" x14ac:dyDescent="0.25">
      <c r="B82" s="2" t="s">
        <v>40</v>
      </c>
      <c r="C82" s="3">
        <f>C71-(C81-C17)</f>
        <v>5.379424966536547</v>
      </c>
    </row>
    <row r="83" spans="2:4" x14ac:dyDescent="0.25">
      <c r="B83" s="2" t="s">
        <v>27</v>
      </c>
      <c r="C83" s="2">
        <f>C16/2*12</f>
        <v>60</v>
      </c>
    </row>
    <row r="84" spans="2:4" x14ac:dyDescent="0.25">
      <c r="B84" s="2" t="s">
        <v>41</v>
      </c>
      <c r="C84" s="2">
        <f>ATAN(C82/C83)</f>
        <v>8.9418001875945105E-2</v>
      </c>
    </row>
    <row r="85" spans="2:4" x14ac:dyDescent="0.25">
      <c r="B85" s="2" t="s">
        <v>42</v>
      </c>
      <c r="C85" s="2">
        <f>C84*180/PI()</f>
        <v>5.1232741199845329</v>
      </c>
      <c r="D85" t="s">
        <v>28</v>
      </c>
    </row>
  </sheetData>
  <conditionalFormatting sqref="C27">
    <cfRule type="cellIs" dxfId="5" priority="4" operator="lessThan">
      <formula>0</formula>
    </cfRule>
  </conditionalFormatting>
  <conditionalFormatting sqref="C36:C37">
    <cfRule type="cellIs" dxfId="4" priority="3" operator="lessThan">
      <formula>0</formula>
    </cfRule>
  </conditionalFormatting>
  <conditionalFormatting sqref="C43:C45">
    <cfRule type="cellIs" dxfId="3" priority="1" operator="lessThan">
      <formula>0</formula>
    </cfRule>
  </conditionalFormatting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Photoshop.Image.7" shapeId="1026" r:id="rId4">
          <objectPr defaultSize="0" autoPict="0" r:id="rId5">
            <anchor moveWithCells="1">
              <from>
                <xdr:col>5</xdr:col>
                <xdr:colOff>285750</xdr:colOff>
                <xdr:row>0</xdr:row>
                <xdr:rowOff>152400</xdr:rowOff>
              </from>
              <to>
                <xdr:col>14</xdr:col>
                <xdr:colOff>57150</xdr:colOff>
                <xdr:row>22</xdr:row>
                <xdr:rowOff>152400</xdr:rowOff>
              </to>
            </anchor>
          </objectPr>
        </oleObject>
      </mc:Choice>
      <mc:Fallback>
        <oleObject progId="Photoshop.Image.7" shapeId="1026" r:id="rId4"/>
      </mc:Fallback>
    </mc:AlternateContent>
    <mc:AlternateContent xmlns:mc="http://schemas.openxmlformats.org/markup-compatibility/2006">
      <mc:Choice Requires="x14">
        <oleObject progId="Photoshop.Image.7" shapeId="1035" r:id="rId6">
          <objectPr defaultSize="0" autoPict="0" r:id="rId7">
            <anchor moveWithCells="1">
              <from>
                <xdr:col>5</xdr:col>
                <xdr:colOff>295275</xdr:colOff>
                <xdr:row>24</xdr:row>
                <xdr:rowOff>123825</xdr:rowOff>
              </from>
              <to>
                <xdr:col>14</xdr:col>
                <xdr:colOff>0</xdr:colOff>
                <xdr:row>55</xdr:row>
                <xdr:rowOff>104775</xdr:rowOff>
              </to>
            </anchor>
          </objectPr>
        </oleObject>
      </mc:Choice>
      <mc:Fallback>
        <oleObject progId="Photoshop.Image.7" shapeId="1035" r:id="rId6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8" r:id="rId8" name="Drop Down 14">
              <controlPr defaultSize="0" autoLine="0" autoPict="0">
                <anchor moveWithCells="1">
                  <from>
                    <xdr:col>1</xdr:col>
                    <xdr:colOff>2066925</xdr:colOff>
                    <xdr:row>0</xdr:row>
                    <xdr:rowOff>123825</xdr:rowOff>
                  </from>
                  <to>
                    <xdr:col>1</xdr:col>
                    <xdr:colOff>3533775</xdr:colOff>
                    <xdr:row>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9" name="Drop Down 15">
              <controlPr defaultSize="0" autoLine="0" autoPict="0">
                <anchor moveWithCells="1">
                  <from>
                    <xdr:col>1</xdr:col>
                    <xdr:colOff>2076450</xdr:colOff>
                    <xdr:row>1</xdr:row>
                    <xdr:rowOff>38100</xdr:rowOff>
                  </from>
                  <to>
                    <xdr:col>1</xdr:col>
                    <xdr:colOff>3533775</xdr:colOff>
                    <xdr:row>1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10" name="Button 17">
              <controlPr defaultSize="0" print="0" autoFill="0" autoPict="0" macro="[0]!pier_height_calc">
                <anchor moveWithCells="1" sizeWithCells="1">
                  <from>
                    <xdr:col>1</xdr:col>
                    <xdr:colOff>2609850</xdr:colOff>
                    <xdr:row>21</xdr:row>
                    <xdr:rowOff>19050</xdr:rowOff>
                  </from>
                  <to>
                    <xdr:col>1</xdr:col>
                    <xdr:colOff>3371850</xdr:colOff>
                    <xdr:row>21</xdr:row>
                    <xdr:rowOff>390525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CC1555-893B-4570-A54F-F62D3DA43BC5}">
  <sheetPr codeName="Sheet6"/>
  <dimension ref="A1:Q60"/>
  <sheetViews>
    <sheetView zoomScale="80" zoomScaleNormal="80" workbookViewId="0">
      <selection activeCell="D19" sqref="D19"/>
    </sheetView>
  </sheetViews>
  <sheetFormatPr defaultColWidth="9.140625" defaultRowHeight="15" x14ac:dyDescent="0.25"/>
  <cols>
    <col min="1" max="1" width="3.85546875" style="57" customWidth="1"/>
    <col min="2" max="2" width="50.42578125" style="57" customWidth="1"/>
    <col min="3" max="3" width="9.140625" style="57"/>
    <col min="4" max="4" width="9.140625" style="57" customWidth="1"/>
    <col min="5" max="5" width="6.5703125" style="57" customWidth="1"/>
    <col min="6" max="10" width="9.140625" style="57"/>
    <col min="11" max="11" width="14.5703125" style="57" customWidth="1"/>
    <col min="12" max="16384" width="9.140625" style="57"/>
  </cols>
  <sheetData>
    <row r="1" spans="1:17" ht="35.85" customHeight="1" x14ac:dyDescent="0.35">
      <c r="A1" s="57">
        <v>5</v>
      </c>
      <c r="B1" s="34" t="s">
        <v>87</v>
      </c>
      <c r="F1" s="78" t="b">
        <f>'L-Series AltAz'!D6=INDEX(F,A1)</f>
        <v>1</v>
      </c>
      <c r="G1" s="79"/>
      <c r="H1" s="79"/>
      <c r="I1" s="79"/>
      <c r="J1" s="79"/>
      <c r="K1" s="79"/>
      <c r="L1" s="79"/>
      <c r="M1" s="79"/>
      <c r="N1" s="79"/>
      <c r="O1" s="79"/>
      <c r="P1" s="79"/>
      <c r="Q1" s="80"/>
    </row>
    <row r="2" spans="1:17" ht="39.6" customHeight="1" x14ac:dyDescent="0.35">
      <c r="A2" s="57">
        <v>2</v>
      </c>
      <c r="B2" s="34" t="s">
        <v>88</v>
      </c>
      <c r="F2" s="81"/>
      <c r="G2" s="77"/>
      <c r="H2" s="77"/>
      <c r="I2" s="77"/>
      <c r="J2" s="77"/>
      <c r="K2" s="77"/>
      <c r="L2" s="77"/>
      <c r="M2" s="77"/>
      <c r="N2" s="77"/>
      <c r="O2" s="77"/>
      <c r="P2" s="77"/>
      <c r="Q2" s="82"/>
    </row>
    <row r="3" spans="1:17" ht="15.75" thickBot="1" x14ac:dyDescent="0.3">
      <c r="F3" s="81"/>
      <c r="G3" s="77"/>
      <c r="H3" s="77"/>
      <c r="I3" s="77"/>
      <c r="J3" s="77"/>
      <c r="K3" s="77"/>
      <c r="L3" s="77"/>
      <c r="M3" s="77"/>
      <c r="N3" s="77"/>
      <c r="O3" s="77"/>
      <c r="P3" s="77"/>
      <c r="Q3" s="82"/>
    </row>
    <row r="4" spans="1:17" ht="16.5" thickBot="1" x14ac:dyDescent="0.3">
      <c r="B4" s="89" t="s">
        <v>96</v>
      </c>
      <c r="C4" s="95" t="s">
        <v>155</v>
      </c>
      <c r="D4" s="95"/>
      <c r="E4" s="96" t="s">
        <v>162</v>
      </c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82"/>
    </row>
    <row r="5" spans="1:17" ht="15.75" x14ac:dyDescent="0.25">
      <c r="B5" s="75" t="s">
        <v>154</v>
      </c>
      <c r="C5" s="76" t="s">
        <v>144</v>
      </c>
      <c r="D5" s="87">
        <f>INDEX(H,A2)</f>
        <v>52.7</v>
      </c>
      <c r="E5" s="75" t="s">
        <v>132</v>
      </c>
      <c r="F5" s="81"/>
      <c r="G5" s="77"/>
      <c r="H5" s="77"/>
      <c r="I5" s="77"/>
      <c r="J5" s="77"/>
      <c r="K5" s="77"/>
      <c r="L5" s="77"/>
      <c r="M5" s="77"/>
      <c r="N5" s="77"/>
      <c r="O5" s="77"/>
      <c r="P5" s="77"/>
      <c r="Q5" s="82"/>
    </row>
    <row r="6" spans="1:17" ht="15.75" x14ac:dyDescent="0.25">
      <c r="B6" s="75" t="s">
        <v>134</v>
      </c>
      <c r="C6" s="76" t="s">
        <v>83</v>
      </c>
      <c r="D6" s="87">
        <f>INDEX(F, A1)</f>
        <v>16</v>
      </c>
      <c r="E6" s="75" t="s">
        <v>132</v>
      </c>
      <c r="F6" s="81"/>
      <c r="G6" s="77"/>
      <c r="H6" s="77"/>
      <c r="I6" s="77"/>
      <c r="J6" s="77"/>
      <c r="K6" s="77"/>
      <c r="L6" s="77"/>
      <c r="M6" s="77"/>
      <c r="N6" s="77"/>
      <c r="O6" s="77"/>
      <c r="P6" s="77"/>
      <c r="Q6" s="82"/>
    </row>
    <row r="7" spans="1:17" ht="16.5" thickBot="1" x14ac:dyDescent="0.3">
      <c r="B7" s="75" t="s">
        <v>136</v>
      </c>
      <c r="C7" s="76" t="s">
        <v>82</v>
      </c>
      <c r="D7" s="87">
        <f>INDEX(E, A1)</f>
        <v>41</v>
      </c>
      <c r="E7" s="75" t="s">
        <v>132</v>
      </c>
      <c r="F7" s="81"/>
      <c r="G7" s="77"/>
      <c r="H7" s="77"/>
      <c r="I7" s="77"/>
      <c r="J7" s="77"/>
      <c r="K7" s="77"/>
      <c r="L7" s="77"/>
      <c r="M7" s="77"/>
      <c r="N7" s="77"/>
      <c r="O7" s="77"/>
      <c r="P7" s="77"/>
      <c r="Q7" s="82"/>
    </row>
    <row r="8" spans="1:17" ht="16.5" thickBot="1" x14ac:dyDescent="0.3">
      <c r="B8" s="102" t="s">
        <v>104</v>
      </c>
      <c r="C8" s="88"/>
      <c r="D8" s="88" t="s">
        <v>131</v>
      </c>
      <c r="E8" s="103"/>
      <c r="F8" s="77"/>
      <c r="G8" s="77"/>
      <c r="H8" s="77"/>
      <c r="I8" s="77"/>
      <c r="J8" s="77"/>
      <c r="K8" s="77"/>
      <c r="L8" s="77"/>
      <c r="M8" s="77"/>
      <c r="N8" s="77"/>
      <c r="O8" s="77"/>
      <c r="P8" s="77"/>
      <c r="Q8" s="82"/>
    </row>
    <row r="9" spans="1:17" ht="15.75" x14ac:dyDescent="0.25">
      <c r="B9" s="75" t="s">
        <v>139</v>
      </c>
      <c r="C9" s="76" t="s">
        <v>140</v>
      </c>
      <c r="D9" s="109">
        <v>82</v>
      </c>
      <c r="E9" s="75" t="s">
        <v>132</v>
      </c>
      <c r="F9" s="81"/>
      <c r="G9" s="77"/>
      <c r="H9" s="77"/>
      <c r="I9" s="77"/>
      <c r="J9" s="77"/>
      <c r="K9" s="77"/>
      <c r="L9" s="77"/>
      <c r="M9" s="77"/>
      <c r="N9" s="77"/>
      <c r="O9" s="77"/>
      <c r="P9" s="77"/>
      <c r="Q9" s="82"/>
    </row>
    <row r="10" spans="1:17" ht="15.75" x14ac:dyDescent="0.25">
      <c r="B10" s="75" t="s">
        <v>141</v>
      </c>
      <c r="C10" s="76" t="s">
        <v>81</v>
      </c>
      <c r="D10" s="109">
        <v>156</v>
      </c>
      <c r="E10" s="75" t="s">
        <v>132</v>
      </c>
      <c r="F10" s="81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82"/>
    </row>
    <row r="11" spans="1:17" ht="15.75" x14ac:dyDescent="0.25">
      <c r="B11" s="75" t="s">
        <v>158</v>
      </c>
      <c r="C11" s="76" t="s">
        <v>160</v>
      </c>
      <c r="D11" s="109">
        <v>24</v>
      </c>
      <c r="E11" s="75" t="s">
        <v>132</v>
      </c>
      <c r="F11" s="81"/>
      <c r="G11" s="77"/>
      <c r="H11" s="77"/>
      <c r="I11" s="77"/>
      <c r="J11" s="77"/>
      <c r="K11" s="77"/>
      <c r="L11" s="77"/>
      <c r="M11" s="77"/>
      <c r="N11" s="77"/>
      <c r="O11" s="77"/>
      <c r="P11" s="77"/>
      <c r="Q11" s="82"/>
    </row>
    <row r="12" spans="1:17" ht="16.5" thickBot="1" x14ac:dyDescent="0.3">
      <c r="B12" s="75"/>
      <c r="C12" s="75"/>
      <c r="D12" s="110"/>
      <c r="E12" s="75"/>
      <c r="F12" s="81"/>
      <c r="G12" s="77"/>
      <c r="H12" s="77"/>
      <c r="I12" s="77"/>
      <c r="J12" s="77"/>
      <c r="K12" s="77"/>
      <c r="L12" s="77"/>
      <c r="M12" s="77"/>
      <c r="N12" s="77"/>
      <c r="O12" s="77"/>
      <c r="P12" s="77"/>
      <c r="Q12" s="82"/>
    </row>
    <row r="13" spans="1:17" ht="16.5" thickBot="1" x14ac:dyDescent="0.3">
      <c r="B13" s="104" t="s">
        <v>4</v>
      </c>
      <c r="C13" s="105"/>
      <c r="D13" s="105"/>
      <c r="E13" s="106"/>
      <c r="F13" s="77"/>
      <c r="G13" s="77"/>
      <c r="H13" s="77"/>
      <c r="I13" s="77"/>
      <c r="J13" s="77"/>
      <c r="K13" s="77"/>
      <c r="L13" s="77"/>
      <c r="M13" s="77"/>
      <c r="N13" s="77"/>
      <c r="O13" s="77"/>
      <c r="P13" s="77"/>
      <c r="Q13" s="82"/>
    </row>
    <row r="14" spans="1:17" ht="40.5" customHeight="1" x14ac:dyDescent="0.25">
      <c r="B14" s="43" t="s">
        <v>107</v>
      </c>
      <c r="C14" s="76" t="s">
        <v>138</v>
      </c>
      <c r="D14" s="86">
        <v>24.999999999999996</v>
      </c>
      <c r="E14" s="75" t="s">
        <v>132</v>
      </c>
      <c r="F14" s="81"/>
      <c r="G14" s="77"/>
      <c r="H14" s="77"/>
      <c r="I14" s="77"/>
      <c r="J14" s="77"/>
      <c r="K14" s="77"/>
      <c r="L14" s="77"/>
      <c r="M14" s="77"/>
      <c r="N14" s="77"/>
      <c r="O14" s="77"/>
      <c r="P14" s="77"/>
      <c r="Q14" s="82"/>
    </row>
    <row r="15" spans="1:17" ht="15.75" x14ac:dyDescent="0.25">
      <c r="B15" s="90" t="s">
        <v>156</v>
      </c>
      <c r="C15" s="87"/>
      <c r="D15" s="111">
        <f>D5+D14+D11-D9</f>
        <v>19.700000000000003</v>
      </c>
      <c r="E15" s="75" t="s">
        <v>132</v>
      </c>
      <c r="F15" s="81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82"/>
    </row>
    <row r="16" spans="1:17" ht="15.75" x14ac:dyDescent="0.25">
      <c r="B16" s="75" t="s">
        <v>143</v>
      </c>
      <c r="C16" s="76" t="s">
        <v>159</v>
      </c>
      <c r="D16" s="112">
        <f>D14+D5+D11+(D7^2+D6^2)^0.5</f>
        <v>145.71136216933078</v>
      </c>
      <c r="E16" s="75" t="s">
        <v>132</v>
      </c>
      <c r="F16" s="81"/>
      <c r="G16" s="77"/>
      <c r="H16" s="77"/>
      <c r="I16" s="77"/>
      <c r="J16" s="77"/>
      <c r="K16" s="77"/>
      <c r="L16" s="77"/>
      <c r="M16" s="77"/>
      <c r="N16" s="77"/>
      <c r="O16" s="77"/>
      <c r="P16" s="77"/>
      <c r="Q16" s="82"/>
    </row>
    <row r="17" spans="2:17" ht="15.75" x14ac:dyDescent="0.25">
      <c r="B17" t="s">
        <v>11</v>
      </c>
      <c r="D17" s="113">
        <f>D9+D10/2</f>
        <v>160</v>
      </c>
      <c r="E17" s="75" t="s">
        <v>132</v>
      </c>
      <c r="F17" s="81"/>
      <c r="G17" s="77"/>
      <c r="H17" s="77"/>
      <c r="I17" s="77"/>
      <c r="J17" s="77"/>
      <c r="K17" s="77"/>
      <c r="L17" s="77"/>
      <c r="M17" s="77"/>
      <c r="N17" s="77"/>
      <c r="O17" s="77"/>
      <c r="P17" s="77"/>
      <c r="Q17" s="82"/>
    </row>
    <row r="18" spans="2:17" ht="15.75" x14ac:dyDescent="0.25">
      <c r="B18" s="75" t="s">
        <v>157</v>
      </c>
      <c r="C18" s="75"/>
      <c r="D18" s="112">
        <f>D17-D16</f>
        <v>14.288637830669217</v>
      </c>
      <c r="E18" s="75" t="s">
        <v>132</v>
      </c>
      <c r="F18" s="81"/>
      <c r="G18" s="77"/>
      <c r="H18" s="77"/>
      <c r="I18" s="77"/>
      <c r="J18" s="77"/>
      <c r="K18" s="77"/>
      <c r="L18" s="77"/>
      <c r="M18" s="77"/>
      <c r="N18" s="77"/>
      <c r="O18" s="77"/>
      <c r="P18" s="77"/>
      <c r="Q18" s="82"/>
    </row>
    <row r="19" spans="2:17" ht="15.75" x14ac:dyDescent="0.25">
      <c r="B19" s="75" t="s">
        <v>145</v>
      </c>
      <c r="C19" s="75"/>
      <c r="D19" s="110">
        <f>D14+D6+D5+D11</f>
        <v>117.7</v>
      </c>
      <c r="E19" s="75" t="s">
        <v>132</v>
      </c>
      <c r="F19" s="81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82"/>
    </row>
    <row r="20" spans="2:17" ht="15.75" x14ac:dyDescent="0.25">
      <c r="C20" s="75"/>
      <c r="D20" s="75"/>
      <c r="E20" s="75"/>
      <c r="F20" s="81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82"/>
    </row>
    <row r="21" spans="2:17" ht="15.75" x14ac:dyDescent="0.25">
      <c r="B21" s="75"/>
      <c r="C21" s="75"/>
      <c r="D21" s="75"/>
      <c r="E21" s="75"/>
      <c r="F21" s="81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82"/>
    </row>
    <row r="22" spans="2:17" ht="15.75" x14ac:dyDescent="0.25">
      <c r="B22" s="75"/>
      <c r="C22" s="75"/>
      <c r="D22" s="75"/>
      <c r="E22" s="75"/>
      <c r="F22" s="81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82"/>
    </row>
    <row r="23" spans="2:17" ht="15.75" x14ac:dyDescent="0.25">
      <c r="B23" s="75"/>
      <c r="C23" s="75"/>
      <c r="D23" s="75"/>
      <c r="E23" s="75"/>
      <c r="F23" s="81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82"/>
    </row>
    <row r="24" spans="2:17" x14ac:dyDescent="0.25">
      <c r="F24" s="81"/>
      <c r="G24" s="77"/>
      <c r="H24" s="77"/>
      <c r="I24" s="77"/>
      <c r="J24" s="77"/>
      <c r="K24" s="77"/>
      <c r="L24" s="77"/>
      <c r="M24" s="77"/>
      <c r="N24" s="77"/>
      <c r="O24" s="77"/>
      <c r="P24" s="77"/>
      <c r="Q24" s="82"/>
    </row>
    <row r="25" spans="2:17" x14ac:dyDescent="0.25">
      <c r="F25" s="81"/>
      <c r="G25" s="77"/>
      <c r="H25" s="77"/>
      <c r="I25" s="77"/>
      <c r="J25" s="77"/>
      <c r="K25" s="77"/>
      <c r="L25" s="77"/>
      <c r="M25" s="77"/>
      <c r="N25" s="77"/>
      <c r="O25" s="77"/>
      <c r="P25" s="77"/>
      <c r="Q25" s="82"/>
    </row>
    <row r="26" spans="2:17" ht="15.75" thickBot="1" x14ac:dyDescent="0.3">
      <c r="F26" s="83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</row>
    <row r="29" spans="2:17" x14ac:dyDescent="0.25">
      <c r="B29" s="57" t="s">
        <v>130</v>
      </c>
    </row>
    <row r="42" spans="4:13" ht="15.75" thickBot="1" x14ac:dyDescent="0.3">
      <c r="D42" s="58"/>
      <c r="E42" s="58"/>
      <c r="K42" s="59" t="s">
        <v>131</v>
      </c>
    </row>
    <row r="43" spans="4:13" x14ac:dyDescent="0.25">
      <c r="D43" s="57">
        <v>39.799999999999997</v>
      </c>
      <c r="E43" s="57" t="s">
        <v>132</v>
      </c>
      <c r="K43" s="60" t="s">
        <v>78</v>
      </c>
    </row>
    <row r="44" spans="4:13" x14ac:dyDescent="0.25">
      <c r="D44" s="57">
        <v>12.5</v>
      </c>
      <c r="E44" s="57" t="s">
        <v>132</v>
      </c>
      <c r="K44" s="60" t="s">
        <v>79</v>
      </c>
    </row>
    <row r="45" spans="4:13" x14ac:dyDescent="0.25">
      <c r="D45" s="57">
        <v>38</v>
      </c>
      <c r="E45" s="57" t="s">
        <v>132</v>
      </c>
      <c r="K45" s="60" t="s">
        <v>80</v>
      </c>
    </row>
    <row r="46" spans="4:13" x14ac:dyDescent="0.25">
      <c r="D46" s="57">
        <v>6</v>
      </c>
      <c r="E46" s="57" t="s">
        <v>132</v>
      </c>
      <c r="K46" s="60" t="s">
        <v>138</v>
      </c>
    </row>
    <row r="47" spans="4:13" x14ac:dyDescent="0.25">
      <c r="D47" s="57">
        <f>45</f>
        <v>45</v>
      </c>
      <c r="E47" s="57" t="s">
        <v>132</v>
      </c>
      <c r="K47" s="60" t="s">
        <v>140</v>
      </c>
    </row>
    <row r="48" spans="4:13" x14ac:dyDescent="0.25">
      <c r="D48" s="57">
        <f>10*12</f>
        <v>120</v>
      </c>
      <c r="E48" s="57" t="s">
        <v>132</v>
      </c>
      <c r="K48" s="60" t="s">
        <v>81</v>
      </c>
      <c r="M48" s="74"/>
    </row>
    <row r="49" spans="3:14" x14ac:dyDescent="0.25">
      <c r="C49" s="60"/>
      <c r="K49" s="60"/>
    </row>
    <row r="50" spans="3:14" x14ac:dyDescent="0.25">
      <c r="C50" s="60"/>
      <c r="K50" s="60"/>
    </row>
    <row r="51" spans="3:14" x14ac:dyDescent="0.25">
      <c r="C51" s="60"/>
      <c r="K51" s="60"/>
    </row>
    <row r="52" spans="3:14" ht="15.75" thickBot="1" x14ac:dyDescent="0.3">
      <c r="K52" s="58"/>
      <c r="L52" s="67" t="s">
        <v>142</v>
      </c>
      <c r="M52" s="58"/>
      <c r="N52" s="58"/>
    </row>
    <row r="53" spans="3:14" x14ac:dyDescent="0.25">
      <c r="K53" s="57" t="s">
        <v>143</v>
      </c>
      <c r="L53" s="60" t="s">
        <v>144</v>
      </c>
      <c r="M53" s="68">
        <f>D46+D43+(D45^2+D44^2)^0.5</f>
        <v>85.803124877939212</v>
      </c>
      <c r="N53" s="57" t="s">
        <v>132</v>
      </c>
    </row>
    <row r="54" spans="3:14" x14ac:dyDescent="0.25">
      <c r="K54" s="57" t="s">
        <v>145</v>
      </c>
      <c r="M54" s="57">
        <f>D46+D44+D43</f>
        <v>58.3</v>
      </c>
      <c r="N54" s="57" t="s">
        <v>132</v>
      </c>
    </row>
    <row r="55" spans="3:14" x14ac:dyDescent="0.25">
      <c r="K55" s="57" t="s">
        <v>146</v>
      </c>
      <c r="M55" s="68">
        <f>L60-M53</f>
        <v>19.196875122060788</v>
      </c>
      <c r="N55" s="57" t="s">
        <v>132</v>
      </c>
    </row>
    <row r="56" spans="3:14" ht="36.75" customHeight="1" x14ac:dyDescent="0.25">
      <c r="K56" s="69" t="s">
        <v>147</v>
      </c>
      <c r="M56" s="57">
        <f>D43+D46-D47</f>
        <v>0.79999999999999716</v>
      </c>
    </row>
    <row r="59" spans="3:14" ht="15.75" thickBot="1" x14ac:dyDescent="0.3">
      <c r="K59" s="70" t="s">
        <v>148</v>
      </c>
      <c r="L59" s="71"/>
      <c r="M59" s="71"/>
      <c r="N59" s="58"/>
    </row>
    <row r="60" spans="3:14" x14ac:dyDescent="0.25">
      <c r="K60" s="72" t="s">
        <v>149</v>
      </c>
      <c r="L60" s="72">
        <f>D47+D48/2</f>
        <v>105</v>
      </c>
      <c r="M60" s="72" t="s">
        <v>132</v>
      </c>
    </row>
  </sheetData>
  <conditionalFormatting sqref="D18">
    <cfRule type="cellIs" dxfId="2" priority="1" operator="lessThan">
      <formula>0</formula>
    </cfRule>
  </conditionalFormatting>
  <pageMargins left="0.7" right="0.7" top="0.75" bottom="0.75" header="0.3" footer="0.3"/>
  <pageSetup orientation="portrait" horizontalDpi="4294967293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4" name="Drop Down 1">
              <controlPr defaultSize="0" autoLine="0" autoPict="0">
                <anchor moveWithCells="1">
                  <from>
                    <xdr:col>1</xdr:col>
                    <xdr:colOff>2038350</xdr:colOff>
                    <xdr:row>0</xdr:row>
                    <xdr:rowOff>123825</xdr:rowOff>
                  </from>
                  <to>
                    <xdr:col>1</xdr:col>
                    <xdr:colOff>3495675</xdr:colOff>
                    <xdr:row>0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5" name="Drop Down 2">
              <controlPr defaultSize="0" autoLine="0" autoPict="0">
                <anchor moveWithCells="1">
                  <from>
                    <xdr:col>1</xdr:col>
                    <xdr:colOff>2019300</xdr:colOff>
                    <xdr:row>1</xdr:row>
                    <xdr:rowOff>114300</xdr:rowOff>
                  </from>
                  <to>
                    <xdr:col>1</xdr:col>
                    <xdr:colOff>3505200</xdr:colOff>
                    <xdr:row>1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6" name="Button 4">
              <controlPr defaultSize="0" print="0" autoFill="0" autoPict="0" macro="[0]!L_mount_AltAz" altText="Calculate">
                <anchor moveWithCells="1" sizeWithCells="1">
                  <from>
                    <xdr:col>1</xdr:col>
                    <xdr:colOff>2457450</xdr:colOff>
                    <xdr:row>13</xdr:row>
                    <xdr:rowOff>38100</xdr:rowOff>
                  </from>
                  <to>
                    <xdr:col>1</xdr:col>
                    <xdr:colOff>3495675</xdr:colOff>
                    <xdr:row>13</xdr:row>
                    <xdr:rowOff>485775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C4CD0D-D2D0-4A6A-AA83-0ED77220CEC8}">
  <sheetPr codeName="Sheet7"/>
  <dimension ref="A1:K49"/>
  <sheetViews>
    <sheetView tabSelected="1" zoomScaleNormal="100" workbookViewId="0">
      <selection activeCell="D19" sqref="D19"/>
    </sheetView>
  </sheetViews>
  <sheetFormatPr defaultRowHeight="15" x14ac:dyDescent="0.25"/>
  <cols>
    <col min="1" max="1" width="2.5703125" customWidth="1"/>
    <col min="2" max="2" width="47.42578125" customWidth="1"/>
    <col min="3" max="3" width="8.7109375" style="52"/>
    <col min="4" max="4" width="10" style="52" customWidth="1"/>
    <col min="5" max="5" width="9.85546875" customWidth="1"/>
    <col min="6" max="6" width="13.140625" customWidth="1"/>
    <col min="7" max="7" width="27" customWidth="1"/>
    <col min="8" max="8" width="12.85546875" customWidth="1"/>
  </cols>
  <sheetData>
    <row r="1" spans="1:8" ht="29.45" customHeight="1" x14ac:dyDescent="0.35">
      <c r="A1">
        <v>4</v>
      </c>
      <c r="B1" s="34" t="s">
        <v>87</v>
      </c>
    </row>
    <row r="2" spans="1:8" ht="30.95" customHeight="1" x14ac:dyDescent="0.35">
      <c r="A2">
        <v>1</v>
      </c>
      <c r="B2" s="34" t="s">
        <v>88</v>
      </c>
    </row>
    <row r="3" spans="1:8" ht="15.75" thickBot="1" x14ac:dyDescent="0.3"/>
    <row r="4" spans="1:8" ht="16.5" thickBot="1" x14ac:dyDescent="0.3">
      <c r="B4" s="107" t="s">
        <v>96</v>
      </c>
      <c r="C4" s="95" t="s">
        <v>155</v>
      </c>
      <c r="D4" s="114"/>
      <c r="E4" s="96" t="s">
        <v>30</v>
      </c>
      <c r="F4" s="89"/>
    </row>
    <row r="5" spans="1:8" x14ac:dyDescent="0.25">
      <c r="E5" t="s">
        <v>2</v>
      </c>
      <c r="F5" t="s">
        <v>3</v>
      </c>
    </row>
    <row r="6" spans="1:8" x14ac:dyDescent="0.25">
      <c r="B6" s="18" t="s">
        <v>173</v>
      </c>
      <c r="C6" s="52" t="s">
        <v>78</v>
      </c>
      <c r="D6" s="115">
        <f>INDEX(AA,A2)</f>
        <v>13.5</v>
      </c>
      <c r="E6" s="97">
        <f>INDEX(AB,A2)</f>
        <v>2</v>
      </c>
      <c r="F6" s="97">
        <f>D6</f>
        <v>13.5</v>
      </c>
    </row>
    <row r="7" spans="1:8" ht="15.75" x14ac:dyDescent="0.25">
      <c r="B7" s="75" t="s">
        <v>154</v>
      </c>
      <c r="C7" s="52" t="s">
        <v>144</v>
      </c>
      <c r="D7" s="115">
        <f>INDEX(H,A2)</f>
        <v>42.706000000000003</v>
      </c>
      <c r="E7" s="98">
        <f>D7*COS(D13*PI()/180)</f>
        <v>39.173472203375731</v>
      </c>
      <c r="F7" s="98">
        <f>D7*SIN(D13*PI()/180)</f>
        <v>17.007101796936173</v>
      </c>
    </row>
    <row r="8" spans="1:8" ht="15.75" x14ac:dyDescent="0.25">
      <c r="B8" s="75" t="s">
        <v>136</v>
      </c>
      <c r="C8" s="52" t="s">
        <v>82</v>
      </c>
      <c r="D8" s="115">
        <f xml:space="preserve"> INDEX(E,A1)</f>
        <v>38</v>
      </c>
      <c r="E8" s="98"/>
      <c r="F8" s="98"/>
    </row>
    <row r="9" spans="1:8" ht="15.75" x14ac:dyDescent="0.25">
      <c r="B9" s="75" t="s">
        <v>134</v>
      </c>
      <c r="C9" s="52" t="s">
        <v>83</v>
      </c>
      <c r="D9" s="115">
        <f xml:space="preserve"> INDEX(F,A1)</f>
        <v>12.44</v>
      </c>
      <c r="E9" s="98"/>
      <c r="F9" s="98"/>
    </row>
    <row r="10" spans="1:8" x14ac:dyDescent="0.25">
      <c r="B10" s="18" t="s">
        <v>171</v>
      </c>
      <c r="C10" s="52" t="s">
        <v>84</v>
      </c>
      <c r="D10" s="115">
        <f>INDEX(G,A1)</f>
        <v>17</v>
      </c>
      <c r="E10" s="98"/>
      <c r="F10" s="98"/>
    </row>
    <row r="11" spans="1:8" ht="15.75" thickBot="1" x14ac:dyDescent="0.3">
      <c r="B11" s="18" t="s">
        <v>38</v>
      </c>
      <c r="D11" s="116">
        <f>INDEX(Aperture,A1)</f>
        <v>20</v>
      </c>
      <c r="E11" s="97"/>
      <c r="F11" s="97"/>
    </row>
    <row r="12" spans="1:8" ht="15.75" thickBot="1" x14ac:dyDescent="0.3">
      <c r="B12" s="99" t="s">
        <v>0</v>
      </c>
      <c r="C12" s="100"/>
      <c r="D12" s="117"/>
      <c r="E12" s="101"/>
    </row>
    <row r="13" spans="1:8" x14ac:dyDescent="0.25">
      <c r="B13" t="s">
        <v>1</v>
      </c>
      <c r="D13" s="141">
        <v>23.468</v>
      </c>
      <c r="E13" t="s">
        <v>175</v>
      </c>
    </row>
    <row r="14" spans="1:8" x14ac:dyDescent="0.25">
      <c r="B14" s="25" t="s">
        <v>8</v>
      </c>
      <c r="C14" s="116"/>
      <c r="D14" s="141">
        <v>156</v>
      </c>
      <c r="E14" t="s">
        <v>176</v>
      </c>
    </row>
    <row r="15" spans="1:8" x14ac:dyDescent="0.25">
      <c r="B15" s="25" t="s">
        <v>164</v>
      </c>
      <c r="C15" s="116"/>
      <c r="D15" s="141">
        <v>72</v>
      </c>
      <c r="E15" t="s">
        <v>176</v>
      </c>
      <c r="H15" s="1"/>
    </row>
    <row r="16" spans="1:8" ht="16.5" thickBot="1" x14ac:dyDescent="0.3">
      <c r="B16" s="75" t="s">
        <v>158</v>
      </c>
      <c r="D16" s="141">
        <v>0</v>
      </c>
      <c r="E16" t="s">
        <v>176</v>
      </c>
    </row>
    <row r="17" spans="2:11" ht="15.75" thickBot="1" x14ac:dyDescent="0.3">
      <c r="B17" s="108" t="s">
        <v>4</v>
      </c>
      <c r="C17" s="48"/>
      <c r="D17" s="118"/>
      <c r="E17" s="49"/>
    </row>
    <row r="18" spans="2:11" ht="45.6" customHeight="1" x14ac:dyDescent="0.25">
      <c r="B18" s="93" t="s">
        <v>107</v>
      </c>
      <c r="C18" s="94" t="s">
        <v>138</v>
      </c>
      <c r="D18" s="119">
        <v>0</v>
      </c>
      <c r="E18" s="50" t="s">
        <v>176</v>
      </c>
    </row>
    <row r="19" spans="2:11" ht="30" x14ac:dyDescent="0.25">
      <c r="B19" s="125" t="s">
        <v>174</v>
      </c>
      <c r="C19" s="35"/>
      <c r="D19" s="140">
        <f>(D18+D16+D6+F7)-D15</f>
        <v>-41.492898203063831</v>
      </c>
      <c r="E19" s="20"/>
      <c r="H19" s="1"/>
    </row>
    <row r="20" spans="2:11" hidden="1" x14ac:dyDescent="0.25">
      <c r="B20" s="137" t="s">
        <v>178</v>
      </c>
      <c r="C20" s="138"/>
      <c r="D20" s="139">
        <f>F6+F7+D18</f>
        <v>30.507101796936173</v>
      </c>
      <c r="E20" s="20" t="s">
        <v>132</v>
      </c>
      <c r="H20" s="1"/>
    </row>
    <row r="21" spans="2:11" ht="30" hidden="1" x14ac:dyDescent="0.25">
      <c r="B21" s="137" t="s">
        <v>179</v>
      </c>
      <c r="C21" s="138"/>
      <c r="D21" s="139">
        <f>((2*D9))*COS(D13*PI()/180)+D20</f>
        <v>53.329093751696348</v>
      </c>
      <c r="E21" s="20" t="s">
        <v>132</v>
      </c>
      <c r="H21" s="1"/>
    </row>
    <row r="22" spans="2:11" x14ac:dyDescent="0.25">
      <c r="B22" t="s">
        <v>10</v>
      </c>
      <c r="D22" s="123">
        <f>D18+D16+D6+F7+(D8^2+D9^2)^0.5</f>
        <v>70.491518761548775</v>
      </c>
      <c r="E22" s="1" t="s">
        <v>176</v>
      </c>
      <c r="F22" s="1"/>
      <c r="G22" s="1"/>
    </row>
    <row r="23" spans="2:11" x14ac:dyDescent="0.25">
      <c r="B23" t="s">
        <v>11</v>
      </c>
      <c r="D23" s="124">
        <f>D15+D14/2</f>
        <v>150</v>
      </c>
      <c r="E23" t="s">
        <v>176</v>
      </c>
    </row>
    <row r="24" spans="2:11" x14ac:dyDescent="0.25">
      <c r="B24" t="s">
        <v>50</v>
      </c>
      <c r="D24" s="123">
        <f>D23-D22</f>
        <v>79.508481238451225</v>
      </c>
      <c r="E24" s="1" t="s">
        <v>176</v>
      </c>
      <c r="F24" s="1"/>
      <c r="G24" s="1"/>
    </row>
    <row r="25" spans="2:11" x14ac:dyDescent="0.25">
      <c r="B25" t="s">
        <v>37</v>
      </c>
      <c r="D25" s="123">
        <f>D42</f>
        <v>33.431410374739109</v>
      </c>
      <c r="E25" s="1" t="s">
        <v>175</v>
      </c>
      <c r="F25" s="1"/>
      <c r="G25" s="129"/>
      <c r="H25" s="130"/>
      <c r="I25" s="130"/>
      <c r="J25" s="130"/>
      <c r="K25" s="130"/>
    </row>
    <row r="26" spans="2:11" x14ac:dyDescent="0.25">
      <c r="B26" t="s">
        <v>36</v>
      </c>
      <c r="D26" s="123">
        <f>D49</f>
        <v>40.636687064255391</v>
      </c>
      <c r="E26" s="1" t="s">
        <v>175</v>
      </c>
      <c r="F26" s="1"/>
      <c r="G26" s="23"/>
      <c r="H26" s="22"/>
      <c r="I26" s="22"/>
      <c r="J26" s="22"/>
      <c r="K26" s="130"/>
    </row>
    <row r="27" spans="2:11" x14ac:dyDescent="0.25">
      <c r="B27" s="126" t="s">
        <v>18</v>
      </c>
      <c r="C27" s="127"/>
      <c r="D27" s="128">
        <f>E7+E6</f>
        <v>41.173472203375731</v>
      </c>
      <c r="E27" s="1" t="s">
        <v>132</v>
      </c>
      <c r="F27" s="1"/>
      <c r="G27" s="23"/>
      <c r="H27" s="131"/>
      <c r="I27" s="22"/>
      <c r="J27" s="22"/>
      <c r="K27" s="130"/>
    </row>
    <row r="28" spans="2:11" x14ac:dyDescent="0.25">
      <c r="B28" s="24" t="s">
        <v>47</v>
      </c>
      <c r="D28" s="123">
        <f>D18+D16+F6+F7-D10</f>
        <v>13.507101796936173</v>
      </c>
      <c r="E28" s="23" t="s">
        <v>132</v>
      </c>
      <c r="F28" s="23"/>
      <c r="G28" s="23"/>
      <c r="H28" s="131"/>
      <c r="I28" s="22"/>
      <c r="J28" s="22"/>
      <c r="K28" s="130"/>
    </row>
    <row r="29" spans="2:11" x14ac:dyDescent="0.25">
      <c r="B29" s="24" t="s">
        <v>48</v>
      </c>
      <c r="D29" s="123">
        <f>D18+D16+F6+F7-D10*SIN(PI()/4)</f>
        <v>18.486286516764864</v>
      </c>
      <c r="E29" s="23" t="s">
        <v>132</v>
      </c>
      <c r="F29" s="23"/>
      <c r="G29" s="23"/>
      <c r="H29" s="131"/>
      <c r="I29" s="22"/>
      <c r="J29" s="22"/>
      <c r="K29" s="130"/>
    </row>
    <row r="30" spans="2:11" x14ac:dyDescent="0.25">
      <c r="B30" s="22"/>
      <c r="D30" s="120"/>
      <c r="E30" s="23"/>
      <c r="F30" s="23"/>
      <c r="G30" s="23"/>
      <c r="H30" s="131"/>
      <c r="I30" s="22"/>
      <c r="J30" s="22"/>
      <c r="K30" s="130"/>
    </row>
    <row r="31" spans="2:11" x14ac:dyDescent="0.25">
      <c r="B31" s="22"/>
      <c r="D31" s="120"/>
      <c r="E31" s="23"/>
      <c r="F31" s="23"/>
      <c r="G31" s="22"/>
      <c r="H31" s="22"/>
      <c r="I31" s="22"/>
      <c r="J31" s="22"/>
      <c r="K31" s="130"/>
    </row>
    <row r="32" spans="2:11" ht="15" customHeight="1" x14ac:dyDescent="0.25">
      <c r="B32" s="7" t="s">
        <v>24</v>
      </c>
      <c r="G32" s="133"/>
      <c r="H32" s="133"/>
      <c r="I32" s="133"/>
      <c r="J32" s="22"/>
      <c r="K32" s="130"/>
    </row>
    <row r="33" spans="2:11" x14ac:dyDescent="0.25">
      <c r="B33" s="9" t="s">
        <v>15</v>
      </c>
      <c r="D33" s="121"/>
      <c r="G33" s="133"/>
      <c r="H33" s="133"/>
      <c r="I33" s="133"/>
      <c r="J33" s="22"/>
      <c r="K33" s="130"/>
    </row>
    <row r="34" spans="2:11" x14ac:dyDescent="0.25">
      <c r="B34" s="9" t="s">
        <v>16</v>
      </c>
      <c r="D34" s="121"/>
      <c r="G34" s="133"/>
      <c r="H34" s="133"/>
      <c r="I34" s="133"/>
      <c r="J34" s="22"/>
      <c r="K34" s="130"/>
    </row>
    <row r="35" spans="2:11" x14ac:dyDescent="0.25">
      <c r="B35" s="9" t="s">
        <v>39</v>
      </c>
      <c r="D35" s="121">
        <f>D11/2</f>
        <v>10</v>
      </c>
      <c r="E35" t="s">
        <v>132</v>
      </c>
      <c r="G35" s="22"/>
      <c r="H35" s="22"/>
      <c r="I35" s="22"/>
      <c r="J35" s="22"/>
      <c r="K35" s="130"/>
    </row>
    <row r="36" spans="2:11" x14ac:dyDescent="0.25">
      <c r="G36" s="134"/>
      <c r="H36" s="135"/>
      <c r="I36" s="22"/>
      <c r="J36" s="22"/>
      <c r="K36" s="130"/>
    </row>
    <row r="37" spans="2:11" x14ac:dyDescent="0.25">
      <c r="B37" s="7" t="s">
        <v>33</v>
      </c>
      <c r="G37" s="134"/>
      <c r="H37" s="135"/>
      <c r="I37" s="22"/>
      <c r="J37" s="22"/>
      <c r="K37" s="130"/>
    </row>
    <row r="38" spans="2:11" x14ac:dyDescent="0.25">
      <c r="B38" s="2" t="s">
        <v>163</v>
      </c>
      <c r="D38" s="121">
        <f>D6+F7+D18</f>
        <v>30.507101796936173</v>
      </c>
      <c r="E38" t="s">
        <v>176</v>
      </c>
      <c r="G38" s="22"/>
      <c r="H38" s="22"/>
      <c r="I38" s="22"/>
      <c r="J38" s="22"/>
      <c r="K38" s="130"/>
    </row>
    <row r="39" spans="2:11" x14ac:dyDescent="0.25">
      <c r="B39" s="2" t="s">
        <v>165</v>
      </c>
      <c r="D39" s="121">
        <f>D35-(D38-D15)</f>
        <v>51.492898203063831</v>
      </c>
      <c r="E39" t="s">
        <v>176</v>
      </c>
      <c r="G39" s="22"/>
      <c r="H39" s="22"/>
      <c r="I39" s="22"/>
      <c r="J39" s="22"/>
      <c r="K39" s="130"/>
    </row>
    <row r="40" spans="2:11" x14ac:dyDescent="0.25">
      <c r="B40" s="2" t="s">
        <v>166</v>
      </c>
      <c r="D40" s="122">
        <f>D14/2</f>
        <v>78</v>
      </c>
      <c r="E40" t="s">
        <v>176</v>
      </c>
      <c r="G40" s="22"/>
      <c r="H40" s="132"/>
      <c r="I40" s="22"/>
      <c r="J40" s="22"/>
      <c r="K40" s="130"/>
    </row>
    <row r="41" spans="2:11" x14ac:dyDescent="0.25">
      <c r="B41" s="2" t="s">
        <v>41</v>
      </c>
      <c r="D41" s="122">
        <f>ATAN(D39/D40)</f>
        <v>0.58348818462458873</v>
      </c>
      <c r="E41" t="s">
        <v>167</v>
      </c>
      <c r="G41" s="22"/>
      <c r="H41" s="22"/>
      <c r="I41" s="22"/>
      <c r="J41" s="22"/>
      <c r="K41" s="130"/>
    </row>
    <row r="42" spans="2:11" x14ac:dyDescent="0.25">
      <c r="B42" s="2" t="s">
        <v>42</v>
      </c>
      <c r="D42" s="122">
        <f>D41*180/PI()</f>
        <v>33.431410374739109</v>
      </c>
      <c r="E42" t="s">
        <v>175</v>
      </c>
      <c r="G42" s="22"/>
      <c r="H42" s="22"/>
      <c r="I42" s="22"/>
      <c r="J42" s="22"/>
      <c r="K42" s="130"/>
    </row>
    <row r="43" spans="2:11" x14ac:dyDescent="0.25">
      <c r="G43" s="22"/>
      <c r="H43" s="23"/>
      <c r="I43" s="22"/>
      <c r="J43" s="22"/>
      <c r="K43" s="130"/>
    </row>
    <row r="44" spans="2:11" x14ac:dyDescent="0.25">
      <c r="B44" s="17" t="s">
        <v>34</v>
      </c>
      <c r="G44" s="136"/>
      <c r="H44" s="136"/>
      <c r="I44" s="22"/>
      <c r="J44" s="22"/>
      <c r="K44" s="130"/>
    </row>
    <row r="45" spans="2:11" x14ac:dyDescent="0.25">
      <c r="B45" s="2" t="s">
        <v>163</v>
      </c>
      <c r="D45" s="121">
        <f>D6+F7+D18</f>
        <v>30.507101796936173</v>
      </c>
      <c r="E45" t="s">
        <v>176</v>
      </c>
      <c r="G45" s="22"/>
      <c r="H45" s="22"/>
      <c r="I45" s="22"/>
      <c r="J45" s="22"/>
      <c r="K45" s="130"/>
    </row>
    <row r="46" spans="2:11" x14ac:dyDescent="0.25">
      <c r="B46" s="2" t="s">
        <v>40</v>
      </c>
      <c r="D46" s="121">
        <f>D35-(D45-D15)</f>
        <v>51.492898203063831</v>
      </c>
      <c r="E46" t="s">
        <v>176</v>
      </c>
      <c r="G46" s="136"/>
      <c r="H46" s="136"/>
      <c r="I46" s="22"/>
      <c r="J46" s="22"/>
      <c r="K46" s="130"/>
    </row>
    <row r="47" spans="2:11" x14ac:dyDescent="0.25">
      <c r="B47" s="2" t="s">
        <v>166</v>
      </c>
      <c r="D47" s="122">
        <v>60</v>
      </c>
      <c r="E47" t="s">
        <v>176</v>
      </c>
      <c r="G47" s="22"/>
      <c r="H47" s="22"/>
      <c r="I47" s="22"/>
      <c r="J47" s="22"/>
      <c r="K47" s="130"/>
    </row>
    <row r="48" spans="2:11" x14ac:dyDescent="0.25">
      <c r="B48" s="2" t="s">
        <v>41</v>
      </c>
      <c r="D48" s="122">
        <f>ATAN(D46/D47)</f>
        <v>0.70924398637384511</v>
      </c>
      <c r="E48" t="s">
        <v>167</v>
      </c>
      <c r="G48" s="22"/>
      <c r="H48" s="22"/>
      <c r="I48" s="22"/>
      <c r="J48" s="22"/>
      <c r="K48" s="130"/>
    </row>
    <row r="49" spans="2:11" x14ac:dyDescent="0.25">
      <c r="B49" s="2" t="s">
        <v>42</v>
      </c>
      <c r="D49" s="122">
        <f>D48*180/PI()</f>
        <v>40.636687064255391</v>
      </c>
      <c r="E49" t="s">
        <v>175</v>
      </c>
      <c r="G49" s="22"/>
      <c r="H49" s="22"/>
      <c r="I49" s="22"/>
      <c r="J49" s="22"/>
      <c r="K49" s="130"/>
    </row>
  </sheetData>
  <conditionalFormatting sqref="D24">
    <cfRule type="cellIs" dxfId="1" priority="3" operator="lessThan">
      <formula>0</formula>
    </cfRule>
  </conditionalFormatting>
  <conditionalFormatting sqref="D18">
    <cfRule type="cellIs" dxfId="0" priority="1" operator="lessThan">
      <formula>0</formula>
    </cfRule>
  </conditionalFormatting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3" name="Drop Down 1">
              <controlPr defaultSize="0" autoLine="0" autoPict="0">
                <anchor moveWithCells="1">
                  <from>
                    <xdr:col>1</xdr:col>
                    <xdr:colOff>2028825</xdr:colOff>
                    <xdr:row>0</xdr:row>
                    <xdr:rowOff>38100</xdr:rowOff>
                  </from>
                  <to>
                    <xdr:col>2</xdr:col>
                    <xdr:colOff>0</xdr:colOff>
                    <xdr:row>0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4" r:id="rId4" name="Drop Down 2">
              <controlPr defaultSize="0" autoLine="0" autoPict="0">
                <anchor moveWithCells="1">
                  <from>
                    <xdr:col>1</xdr:col>
                    <xdr:colOff>2028825</xdr:colOff>
                    <xdr:row>1</xdr:row>
                    <xdr:rowOff>57150</xdr:rowOff>
                  </from>
                  <to>
                    <xdr:col>2</xdr:col>
                    <xdr:colOff>0</xdr:colOff>
                    <xdr:row>1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5" r:id="rId5" name="Button 3">
              <controlPr defaultSize="0" print="0" autoFill="0" autoPict="0" macro="[0]!L_mount_EQ" altText="Calculate">
                <anchor moveWithCells="1" sizeWithCells="1">
                  <from>
                    <xdr:col>1</xdr:col>
                    <xdr:colOff>2362200</xdr:colOff>
                    <xdr:row>17</xdr:row>
                    <xdr:rowOff>76200</xdr:rowOff>
                  </from>
                  <to>
                    <xdr:col>1</xdr:col>
                    <xdr:colOff>3209925</xdr:colOff>
                    <xdr:row>17</xdr:row>
                    <xdr:rowOff>495300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D60"/>
  <sheetViews>
    <sheetView zoomScale="70" zoomScaleNormal="70" workbookViewId="0">
      <selection activeCell="C13" sqref="C13"/>
    </sheetView>
  </sheetViews>
  <sheetFormatPr defaultRowHeight="15" x14ac:dyDescent="0.25"/>
  <cols>
    <col min="1" max="1" width="40.42578125" customWidth="1"/>
    <col min="3" max="3" width="27" customWidth="1"/>
    <col min="4" max="4" width="9.5703125" customWidth="1"/>
    <col min="9" max="9" width="8.7109375" customWidth="1"/>
    <col min="11" max="13" width="8.7109375" customWidth="1"/>
  </cols>
  <sheetData>
    <row r="1" spans="1:4" ht="15.75" thickBot="1" x14ac:dyDescent="0.3"/>
    <row r="2" spans="1:4" ht="15.75" thickBot="1" x14ac:dyDescent="0.3">
      <c r="A2" s="16" t="s">
        <v>17</v>
      </c>
      <c r="C2" s="22"/>
      <c r="D2" s="25"/>
    </row>
    <row r="3" spans="1:4" ht="15.75" thickBot="1" x14ac:dyDescent="0.3">
      <c r="C3" s="25"/>
      <c r="D3" s="25"/>
    </row>
    <row r="4" spans="1:4" x14ac:dyDescent="0.25">
      <c r="A4" s="18" t="s">
        <v>56</v>
      </c>
      <c r="B4" s="4">
        <v>47.5</v>
      </c>
      <c r="C4" s="25"/>
      <c r="D4" s="25"/>
    </row>
    <row r="5" spans="1:4" x14ac:dyDescent="0.25">
      <c r="A5" s="18" t="s">
        <v>57</v>
      </c>
      <c r="B5" s="5">
        <v>50</v>
      </c>
      <c r="C5" s="26"/>
      <c r="D5" s="26"/>
    </row>
    <row r="6" spans="1:4" x14ac:dyDescent="0.25">
      <c r="A6" s="18" t="s">
        <v>58</v>
      </c>
      <c r="B6" s="5">
        <v>0</v>
      </c>
      <c r="C6" s="26"/>
      <c r="D6" s="26"/>
    </row>
    <row r="7" spans="1:4" ht="15.75" thickBot="1" x14ac:dyDescent="0.3">
      <c r="A7" s="18" t="s">
        <v>38</v>
      </c>
      <c r="B7" s="6">
        <v>28</v>
      </c>
      <c r="C7" s="26"/>
      <c r="D7" s="26"/>
    </row>
    <row r="8" spans="1:4" x14ac:dyDescent="0.25">
      <c r="A8" s="18"/>
      <c r="B8" s="22"/>
      <c r="C8" s="26"/>
      <c r="D8" s="26"/>
    </row>
    <row r="9" spans="1:4" x14ac:dyDescent="0.25">
      <c r="A9" s="18"/>
      <c r="B9" s="22"/>
      <c r="C9" s="26"/>
      <c r="D9" s="26"/>
    </row>
    <row r="10" spans="1:4" x14ac:dyDescent="0.25">
      <c r="A10" s="18"/>
      <c r="B10" s="22"/>
      <c r="C10" s="26"/>
      <c r="D10" s="26"/>
    </row>
    <row r="11" spans="1:4" x14ac:dyDescent="0.25">
      <c r="A11" s="18"/>
      <c r="B11" s="22"/>
      <c r="C11" s="26"/>
      <c r="D11" s="26"/>
    </row>
    <row r="12" spans="1:4" ht="15.75" thickBot="1" x14ac:dyDescent="0.3"/>
    <row r="13" spans="1:4" ht="15.75" thickBot="1" x14ac:dyDescent="0.3">
      <c r="A13" s="16" t="s">
        <v>0</v>
      </c>
    </row>
    <row r="14" spans="1:4" x14ac:dyDescent="0.25">
      <c r="B14" s="4"/>
    </row>
    <row r="15" spans="1:4" x14ac:dyDescent="0.25">
      <c r="A15" t="s">
        <v>8</v>
      </c>
      <c r="B15" s="5">
        <v>10</v>
      </c>
      <c r="C15" t="s">
        <v>7</v>
      </c>
    </row>
    <row r="16" spans="1:4" x14ac:dyDescent="0.25">
      <c r="A16" t="s">
        <v>9</v>
      </c>
      <c r="B16" s="5">
        <v>47.5</v>
      </c>
      <c r="C16" t="s">
        <v>6</v>
      </c>
      <c r="D16" s="1"/>
    </row>
    <row r="17" spans="1:4" ht="15.75" thickBot="1" x14ac:dyDescent="0.3">
      <c r="A17" t="s">
        <v>14</v>
      </c>
      <c r="B17" s="6">
        <v>0</v>
      </c>
      <c r="C17" t="s">
        <v>6</v>
      </c>
      <c r="D17" s="1"/>
    </row>
    <row r="18" spans="1:4" x14ac:dyDescent="0.25">
      <c r="D18" s="1"/>
    </row>
    <row r="19" spans="1:4" ht="15.75" thickBot="1" x14ac:dyDescent="0.3"/>
    <row r="20" spans="1:4" ht="15.75" thickBot="1" x14ac:dyDescent="0.3">
      <c r="A20" s="15" t="s">
        <v>4</v>
      </c>
    </row>
    <row r="21" spans="1:4" ht="30" x14ac:dyDescent="0.25">
      <c r="A21" s="20" t="s">
        <v>53</v>
      </c>
      <c r="B21" s="27">
        <f>B4+B6-B16</f>
        <v>0</v>
      </c>
      <c r="C21" t="s">
        <v>45</v>
      </c>
    </row>
    <row r="22" spans="1:4" x14ac:dyDescent="0.25">
      <c r="A22" t="s">
        <v>10</v>
      </c>
      <c r="B22" s="11">
        <f>B4+B5+B6</f>
        <v>97.5</v>
      </c>
      <c r="C22" s="1" t="s">
        <v>13</v>
      </c>
    </row>
    <row r="23" spans="1:4" x14ac:dyDescent="0.25">
      <c r="A23" t="s">
        <v>11</v>
      </c>
      <c r="B23" s="13">
        <f>B16+B15*12/2</f>
        <v>107.5</v>
      </c>
      <c r="C23" t="s">
        <v>13</v>
      </c>
    </row>
    <row r="24" spans="1:4" x14ac:dyDescent="0.25">
      <c r="A24" t="s">
        <v>50</v>
      </c>
      <c r="B24" s="11">
        <f>B16+B15/2*12-B22</f>
        <v>10</v>
      </c>
      <c r="C24" s="1" t="s">
        <v>13</v>
      </c>
    </row>
    <row r="25" spans="1:4" ht="15.75" thickBot="1" x14ac:dyDescent="0.3">
      <c r="A25" t="s">
        <v>59</v>
      </c>
      <c r="B25" s="12">
        <f>B5</f>
        <v>50</v>
      </c>
      <c r="C25" s="1"/>
    </row>
    <row r="26" spans="1:4" x14ac:dyDescent="0.25">
      <c r="B26" s="23"/>
      <c r="C26" s="1"/>
    </row>
    <row r="27" spans="1:4" x14ac:dyDescent="0.25">
      <c r="A27" s="24"/>
      <c r="B27" s="23"/>
      <c r="C27" s="23"/>
    </row>
    <row r="28" spans="1:4" x14ac:dyDescent="0.25">
      <c r="A28" s="24"/>
      <c r="B28" s="23"/>
      <c r="C28" s="23"/>
    </row>
    <row r="29" spans="1:4" x14ac:dyDescent="0.25">
      <c r="A29" s="22"/>
      <c r="B29" s="23"/>
      <c r="C29" s="23"/>
    </row>
    <row r="30" spans="1:4" x14ac:dyDescent="0.25">
      <c r="A30" s="22"/>
      <c r="B30" s="23"/>
      <c r="C30" s="23"/>
    </row>
    <row r="31" spans="1:4" x14ac:dyDescent="0.25">
      <c r="A31" s="22"/>
      <c r="B31" s="23"/>
      <c r="C31" s="23"/>
    </row>
    <row r="32" spans="1:4" x14ac:dyDescent="0.25">
      <c r="A32" s="22"/>
      <c r="B32" s="23"/>
      <c r="C32" s="23"/>
    </row>
    <row r="34" spans="1:3" x14ac:dyDescent="0.25">
      <c r="A34" s="21"/>
      <c r="B34" s="22"/>
      <c r="C34" s="22"/>
    </row>
    <row r="35" spans="1:3" x14ac:dyDescent="0.25">
      <c r="A35" s="22"/>
      <c r="B35" s="22"/>
      <c r="C35" s="22"/>
    </row>
    <row r="36" spans="1:3" x14ac:dyDescent="0.25">
      <c r="A36" s="22"/>
      <c r="B36" s="23"/>
      <c r="C36" s="22"/>
    </row>
    <row r="37" spans="1:3" x14ac:dyDescent="0.25">
      <c r="A37" s="22"/>
      <c r="B37" s="23"/>
      <c r="C37" s="22"/>
    </row>
    <row r="38" spans="1:3" x14ac:dyDescent="0.25">
      <c r="A38" s="22"/>
      <c r="B38" s="23"/>
      <c r="C38" s="22"/>
    </row>
    <row r="39" spans="1:3" x14ac:dyDescent="0.25">
      <c r="A39" s="22"/>
      <c r="B39" s="23"/>
      <c r="C39" s="22"/>
    </row>
    <row r="42" spans="1:3" x14ac:dyDescent="0.25">
      <c r="A42" s="17"/>
      <c r="B42" s="25"/>
      <c r="C42" s="25"/>
    </row>
    <row r="43" spans="1:3" x14ac:dyDescent="0.25">
      <c r="A43" s="28"/>
      <c r="B43" s="26"/>
      <c r="C43" s="25"/>
    </row>
    <row r="44" spans="1:3" x14ac:dyDescent="0.25">
      <c r="A44" s="28"/>
      <c r="B44" s="26"/>
      <c r="C44" s="25"/>
    </row>
    <row r="45" spans="1:3" x14ac:dyDescent="0.25">
      <c r="A45" s="28"/>
      <c r="B45" s="26"/>
      <c r="C45" s="25"/>
    </row>
    <row r="46" spans="1:3" x14ac:dyDescent="0.25">
      <c r="A46" s="25"/>
      <c r="B46" s="25"/>
      <c r="C46" s="25"/>
    </row>
    <row r="47" spans="1:3" x14ac:dyDescent="0.25">
      <c r="A47" s="17"/>
      <c r="B47" s="25"/>
      <c r="C47" s="25"/>
    </row>
    <row r="48" spans="1:3" x14ac:dyDescent="0.25">
      <c r="A48" s="25"/>
      <c r="B48" s="26"/>
      <c r="C48" s="25"/>
    </row>
    <row r="49" spans="1:4" x14ac:dyDescent="0.25">
      <c r="A49" s="25"/>
      <c r="B49" s="26"/>
      <c r="C49" s="25"/>
      <c r="D49" s="1"/>
    </row>
    <row r="50" spans="1:4" x14ac:dyDescent="0.25">
      <c r="A50" s="25"/>
      <c r="B50" s="25"/>
      <c r="C50" s="25"/>
    </row>
    <row r="51" spans="1:4" x14ac:dyDescent="0.25">
      <c r="A51" s="25"/>
      <c r="B51" s="25"/>
      <c r="C51" s="25"/>
    </row>
    <row r="52" spans="1:4" x14ac:dyDescent="0.25">
      <c r="A52" s="25"/>
      <c r="B52" s="25"/>
      <c r="C52" s="25"/>
    </row>
    <row r="53" spans="1:4" x14ac:dyDescent="0.25">
      <c r="A53" s="25"/>
      <c r="B53" s="25"/>
      <c r="C53" s="25"/>
    </row>
    <row r="54" spans="1:4" x14ac:dyDescent="0.25">
      <c r="A54" s="17"/>
      <c r="B54" s="25"/>
      <c r="C54" s="25"/>
    </row>
    <row r="55" spans="1:4" x14ac:dyDescent="0.25">
      <c r="A55" s="25"/>
      <c r="B55" s="26"/>
      <c r="C55" s="25"/>
    </row>
    <row r="56" spans="1:4" x14ac:dyDescent="0.25">
      <c r="A56" s="25"/>
      <c r="B56" s="26"/>
      <c r="C56" s="25"/>
    </row>
    <row r="57" spans="1:4" x14ac:dyDescent="0.25">
      <c r="A57" s="25"/>
      <c r="B57" s="25"/>
      <c r="C57" s="25"/>
    </row>
    <row r="58" spans="1:4" x14ac:dyDescent="0.25">
      <c r="A58" s="25"/>
      <c r="B58" s="25"/>
      <c r="C58" s="25"/>
    </row>
    <row r="59" spans="1:4" x14ac:dyDescent="0.25">
      <c r="A59" s="25"/>
      <c r="B59" s="25"/>
      <c r="C59" s="25"/>
    </row>
    <row r="60" spans="1:4" x14ac:dyDescent="0.25">
      <c r="A60" s="25"/>
      <c r="B60" s="25"/>
      <c r="C60" s="25"/>
    </row>
  </sheetData>
  <pageMargins left="0.7" right="0.7" top="0.75" bottom="0.75" header="0.3" footer="0.3"/>
  <pageSetup orientation="portrait" horizontalDpi="4294967293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D59"/>
  <sheetViews>
    <sheetView topLeftCell="A2" zoomScale="90" zoomScaleNormal="90" workbookViewId="0">
      <selection activeCell="D16" sqref="D16"/>
    </sheetView>
  </sheetViews>
  <sheetFormatPr defaultRowHeight="15" x14ac:dyDescent="0.25"/>
  <cols>
    <col min="1" max="1" width="40.42578125" customWidth="1"/>
    <col min="3" max="3" width="27" customWidth="1"/>
    <col min="4" max="4" width="9.5703125" customWidth="1"/>
  </cols>
  <sheetData>
    <row r="1" spans="1:4" ht="15.75" thickBot="1" x14ac:dyDescent="0.3"/>
    <row r="2" spans="1:4" ht="15.75" thickBot="1" x14ac:dyDescent="0.3">
      <c r="A2" s="16" t="s">
        <v>17</v>
      </c>
      <c r="C2" s="16" t="s">
        <v>30</v>
      </c>
      <c r="D2" s="8"/>
    </row>
    <row r="3" spans="1:4" ht="15.75" thickBot="1" x14ac:dyDescent="0.3">
      <c r="C3" t="s">
        <v>2</v>
      </c>
      <c r="D3" t="s">
        <v>3</v>
      </c>
    </row>
    <row r="4" spans="1:4" x14ac:dyDescent="0.25">
      <c r="A4" s="18" t="s">
        <v>43</v>
      </c>
      <c r="B4" s="4">
        <v>15.5</v>
      </c>
      <c r="C4" s="2">
        <f>0</f>
        <v>0</v>
      </c>
      <c r="D4" s="2">
        <f>B4</f>
        <v>15.5</v>
      </c>
    </row>
    <row r="5" spans="1:4" ht="45" x14ac:dyDescent="0.25">
      <c r="A5" s="18" t="s">
        <v>44</v>
      </c>
      <c r="B5" s="5">
        <v>43.3</v>
      </c>
      <c r="C5" s="3">
        <f>B5*COS(B14*PI()/180)</f>
        <v>34.580917585047779</v>
      </c>
      <c r="D5" s="3">
        <f>B5*SIN(B14*PI()/180)</f>
        <v>26.058590502483689</v>
      </c>
    </row>
    <row r="6" spans="1:4" x14ac:dyDescent="0.25">
      <c r="A6" s="18"/>
      <c r="B6" s="5">
        <v>0</v>
      </c>
      <c r="C6" s="3">
        <f>B6*COS((90-B14)*PI()/180)</f>
        <v>0</v>
      </c>
      <c r="D6" s="3">
        <f>B6*SIN((90-B14)*PI()/180)</f>
        <v>0</v>
      </c>
    </row>
    <row r="7" spans="1:4" x14ac:dyDescent="0.25">
      <c r="A7" s="18"/>
      <c r="B7" s="5">
        <v>0</v>
      </c>
      <c r="C7" s="3">
        <f>B7*COS((90-B14)*PI()/180)</f>
        <v>0</v>
      </c>
      <c r="D7" s="3">
        <f>B7*SIN((90-B14)*PI()/180)</f>
        <v>0</v>
      </c>
    </row>
    <row r="8" spans="1:4" x14ac:dyDescent="0.25">
      <c r="A8" s="18" t="s">
        <v>114</v>
      </c>
      <c r="B8" s="5">
        <v>45</v>
      </c>
      <c r="C8" s="3"/>
      <c r="D8" s="3"/>
    </row>
    <row r="9" spans="1:4" x14ac:dyDescent="0.25">
      <c r="A9" s="18" t="s">
        <v>112</v>
      </c>
      <c r="B9" s="5">
        <v>17</v>
      </c>
      <c r="C9" s="3"/>
      <c r="D9" s="3"/>
    </row>
    <row r="10" spans="1:4" x14ac:dyDescent="0.25">
      <c r="A10" s="18" t="s">
        <v>113</v>
      </c>
      <c r="B10" s="5">
        <v>26</v>
      </c>
      <c r="C10" s="3"/>
      <c r="D10" s="3"/>
    </row>
    <row r="11" spans="1:4" ht="15.75" thickBot="1" x14ac:dyDescent="0.3">
      <c r="A11" s="18" t="s">
        <v>38</v>
      </c>
      <c r="B11" s="6">
        <v>24</v>
      </c>
      <c r="C11" s="3"/>
      <c r="D11" s="3"/>
    </row>
    <row r="12" spans="1:4" ht="15.75" thickBot="1" x14ac:dyDescent="0.3"/>
    <row r="13" spans="1:4" ht="15.75" thickBot="1" x14ac:dyDescent="0.3">
      <c r="A13" s="16" t="s">
        <v>0</v>
      </c>
    </row>
    <row r="14" spans="1:4" x14ac:dyDescent="0.25">
      <c r="A14" t="s">
        <v>1</v>
      </c>
      <c r="B14" s="4">
        <v>37</v>
      </c>
      <c r="C14" t="s">
        <v>5</v>
      </c>
    </row>
    <row r="15" spans="1:4" x14ac:dyDescent="0.25">
      <c r="A15" t="s">
        <v>8</v>
      </c>
      <c r="B15" s="5">
        <v>9</v>
      </c>
      <c r="C15" t="s">
        <v>7</v>
      </c>
    </row>
    <row r="16" spans="1:4" x14ac:dyDescent="0.25">
      <c r="A16" t="s">
        <v>9</v>
      </c>
      <c r="B16" s="5">
        <v>48</v>
      </c>
      <c r="C16" t="s">
        <v>6</v>
      </c>
      <c r="D16" s="1"/>
    </row>
    <row r="17" spans="1:4" x14ac:dyDescent="0.25">
      <c r="A17" t="s">
        <v>14</v>
      </c>
      <c r="B17" s="5">
        <v>18.5</v>
      </c>
      <c r="C17" t="s">
        <v>6</v>
      </c>
      <c r="D17" s="1"/>
    </row>
    <row r="18" spans="1:4" ht="30.75" thickBot="1" x14ac:dyDescent="0.3">
      <c r="A18" s="20" t="s">
        <v>49</v>
      </c>
      <c r="B18" s="19">
        <f>B48-B16</f>
        <v>12.058590502483689</v>
      </c>
      <c r="C18" t="s">
        <v>45</v>
      </c>
      <c r="D18" s="1"/>
    </row>
    <row r="19" spans="1:4" ht="15.75" thickBot="1" x14ac:dyDescent="0.3"/>
    <row r="20" spans="1:4" ht="15.75" thickBot="1" x14ac:dyDescent="0.3">
      <c r="A20" s="15" t="s">
        <v>4</v>
      </c>
    </row>
    <row r="21" spans="1:4" x14ac:dyDescent="0.25">
      <c r="A21" t="s">
        <v>10</v>
      </c>
      <c r="B21" s="10">
        <f>B17+D4+D5+(B8^2+B9^2)^0.5</f>
        <v>108.16264438570647</v>
      </c>
      <c r="C21" s="1" t="s">
        <v>13</v>
      </c>
    </row>
    <row r="22" spans="1:4" x14ac:dyDescent="0.25">
      <c r="A22" t="s">
        <v>11</v>
      </c>
      <c r="B22" s="13">
        <f>B16+B15*12/2</f>
        <v>102</v>
      </c>
      <c r="C22" t="s">
        <v>13</v>
      </c>
    </row>
    <row r="23" spans="1:4" x14ac:dyDescent="0.25">
      <c r="A23" t="s">
        <v>50</v>
      </c>
      <c r="B23" s="11">
        <f>B16+B15/2*12-B21</f>
        <v>-6.1626443857064714</v>
      </c>
      <c r="C23" s="1" t="s">
        <v>13</v>
      </c>
    </row>
    <row r="24" spans="1:4" x14ac:dyDescent="0.25">
      <c r="A24" t="s">
        <v>37</v>
      </c>
      <c r="B24" s="11">
        <f>B52</f>
        <v>-6.2166429528411428E-2</v>
      </c>
      <c r="C24" s="1" t="s">
        <v>28</v>
      </c>
    </row>
    <row r="25" spans="1:4" x14ac:dyDescent="0.25">
      <c r="A25" t="s">
        <v>36</v>
      </c>
      <c r="B25" s="11">
        <f>B59</f>
        <v>-6.2166429528411428E-2</v>
      </c>
      <c r="C25" s="1" t="s">
        <v>28</v>
      </c>
    </row>
    <row r="26" spans="1:4" x14ac:dyDescent="0.25">
      <c r="A26" t="s">
        <v>18</v>
      </c>
      <c r="B26" s="11">
        <f>C5</f>
        <v>34.580917585047779</v>
      </c>
      <c r="C26" s="1" t="s">
        <v>13</v>
      </c>
    </row>
    <row r="27" spans="1:4" x14ac:dyDescent="0.25">
      <c r="A27" s="24" t="s">
        <v>47</v>
      </c>
      <c r="B27" s="11">
        <f>B17+D4+D5-B10</f>
        <v>34.058590502483689</v>
      </c>
      <c r="C27" s="23" t="s">
        <v>13</v>
      </c>
    </row>
    <row r="28" spans="1:4" ht="15.75" thickBot="1" x14ac:dyDescent="0.3">
      <c r="A28" s="24" t="s">
        <v>48</v>
      </c>
      <c r="B28" s="12">
        <f>B17+D4+D5-B10*SIN(PI()/4)</f>
        <v>41.673814191633454</v>
      </c>
      <c r="C28" s="23" t="s">
        <v>13</v>
      </c>
    </row>
    <row r="29" spans="1:4" x14ac:dyDescent="0.25">
      <c r="A29" s="22"/>
      <c r="B29" s="23"/>
      <c r="C29" s="23"/>
    </row>
    <row r="30" spans="1:4" x14ac:dyDescent="0.25">
      <c r="A30" s="22"/>
      <c r="B30" s="23"/>
      <c r="C30" s="23"/>
    </row>
    <row r="31" spans="1:4" x14ac:dyDescent="0.25">
      <c r="A31" s="22"/>
      <c r="B31" s="23"/>
      <c r="C31" s="23"/>
    </row>
    <row r="32" spans="1:4" x14ac:dyDescent="0.25">
      <c r="A32" s="22"/>
      <c r="B32" s="23"/>
      <c r="C32" s="23"/>
    </row>
    <row r="34" spans="1:3" x14ac:dyDescent="0.25">
      <c r="A34" s="21"/>
      <c r="B34" s="22"/>
      <c r="C34" s="22"/>
    </row>
    <row r="35" spans="1:3" x14ac:dyDescent="0.25">
      <c r="A35" s="22"/>
      <c r="B35" s="22"/>
      <c r="C35" s="22"/>
    </row>
    <row r="36" spans="1:3" x14ac:dyDescent="0.25">
      <c r="A36" s="22"/>
      <c r="B36" s="23"/>
      <c r="C36" s="22"/>
    </row>
    <row r="37" spans="1:3" x14ac:dyDescent="0.25">
      <c r="A37" s="22"/>
      <c r="B37" s="23"/>
      <c r="C37" s="22"/>
    </row>
    <row r="38" spans="1:3" x14ac:dyDescent="0.25">
      <c r="A38" s="22"/>
      <c r="B38" s="23"/>
      <c r="C38" s="22"/>
    </row>
    <row r="39" spans="1:3" x14ac:dyDescent="0.25">
      <c r="A39" s="22"/>
      <c r="B39" s="23"/>
      <c r="C39" s="22"/>
    </row>
    <row r="42" spans="1:3" x14ac:dyDescent="0.25">
      <c r="A42" s="7" t="s">
        <v>24</v>
      </c>
    </row>
    <row r="43" spans="1:3" ht="30" x14ac:dyDescent="0.25">
      <c r="A43" s="9" t="s">
        <v>15</v>
      </c>
      <c r="B43" s="3" t="s">
        <v>46</v>
      </c>
    </row>
    <row r="44" spans="1:3" ht="30" x14ac:dyDescent="0.25">
      <c r="A44" s="9" t="s">
        <v>16</v>
      </c>
      <c r="B44" s="3" t="s">
        <v>46</v>
      </c>
    </row>
    <row r="45" spans="1:3" x14ac:dyDescent="0.25">
      <c r="A45" s="9" t="s">
        <v>39</v>
      </c>
      <c r="B45" s="3">
        <f>B11/2</f>
        <v>12</v>
      </c>
    </row>
    <row r="47" spans="1:3" x14ac:dyDescent="0.25">
      <c r="A47" s="7" t="s">
        <v>33</v>
      </c>
    </row>
    <row r="48" spans="1:3" x14ac:dyDescent="0.25">
      <c r="A48" s="2" t="s">
        <v>26</v>
      </c>
      <c r="B48" s="3">
        <f>D4+D5+B17</f>
        <v>60.058590502483689</v>
      </c>
    </row>
    <row r="49" spans="1:4" x14ac:dyDescent="0.25">
      <c r="A49" s="2" t="s">
        <v>40</v>
      </c>
      <c r="B49" s="3">
        <f>B45-(B48-B16)</f>
        <v>-5.8590502483689022E-2</v>
      </c>
      <c r="D49" s="1"/>
    </row>
    <row r="50" spans="1:4" x14ac:dyDescent="0.25">
      <c r="A50" s="2" t="s">
        <v>27</v>
      </c>
      <c r="B50" s="2">
        <f>B15/2*12</f>
        <v>54</v>
      </c>
    </row>
    <row r="51" spans="1:4" x14ac:dyDescent="0.25">
      <c r="A51" s="2" t="s">
        <v>41</v>
      </c>
      <c r="B51" s="2">
        <f>ATAN(B49/B50)</f>
        <v>-1.0850088794798051E-3</v>
      </c>
    </row>
    <row r="52" spans="1:4" x14ac:dyDescent="0.25">
      <c r="A52" s="2" t="s">
        <v>42</v>
      </c>
      <c r="B52" s="2">
        <f>B51*180/PI()</f>
        <v>-6.2166429528411428E-2</v>
      </c>
      <c r="C52" t="s">
        <v>28</v>
      </c>
    </row>
    <row r="54" spans="1:4" x14ac:dyDescent="0.25">
      <c r="A54" s="17" t="s">
        <v>34</v>
      </c>
    </row>
    <row r="55" spans="1:4" x14ac:dyDescent="0.25">
      <c r="A55" s="2" t="s">
        <v>35</v>
      </c>
      <c r="B55" s="3">
        <f>D4+D5+D6+B17</f>
        <v>60.058590502483689</v>
      </c>
    </row>
    <row r="56" spans="1:4" x14ac:dyDescent="0.25">
      <c r="A56" s="2" t="s">
        <v>40</v>
      </c>
      <c r="B56" s="3">
        <f>B45-(B55-B16)</f>
        <v>-5.8590502483689022E-2</v>
      </c>
    </row>
    <row r="57" spans="1:4" x14ac:dyDescent="0.25">
      <c r="A57" s="2" t="s">
        <v>27</v>
      </c>
      <c r="B57" s="2">
        <f>B15/2*12</f>
        <v>54</v>
      </c>
    </row>
    <row r="58" spans="1:4" x14ac:dyDescent="0.25">
      <c r="A58" s="2" t="s">
        <v>41</v>
      </c>
      <c r="B58" s="2">
        <f>ATAN(B56/B57)</f>
        <v>-1.0850088794798051E-3</v>
      </c>
    </row>
    <row r="59" spans="1:4" x14ac:dyDescent="0.25">
      <c r="A59" s="2" t="s">
        <v>42</v>
      </c>
      <c r="B59" s="2">
        <f>B58*180/PI()</f>
        <v>-6.2166429528411428E-2</v>
      </c>
      <c r="C59" t="s">
        <v>28</v>
      </c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D59"/>
  <sheetViews>
    <sheetView workbookViewId="0">
      <selection activeCell="A11" sqref="A11"/>
    </sheetView>
  </sheetViews>
  <sheetFormatPr defaultRowHeight="15" x14ac:dyDescent="0.25"/>
  <cols>
    <col min="1" max="1" width="40.42578125" customWidth="1"/>
    <col min="3" max="3" width="27" customWidth="1"/>
    <col min="4" max="4" width="9.5703125" customWidth="1"/>
  </cols>
  <sheetData>
    <row r="1" spans="1:4" ht="15.75" thickBot="1" x14ac:dyDescent="0.3"/>
    <row r="2" spans="1:4" ht="15.75" thickBot="1" x14ac:dyDescent="0.3">
      <c r="A2" s="16" t="s">
        <v>17</v>
      </c>
      <c r="C2" s="16" t="s">
        <v>30</v>
      </c>
      <c r="D2" s="8"/>
    </row>
    <row r="3" spans="1:4" ht="15.75" thickBot="1" x14ac:dyDescent="0.3">
      <c r="C3" t="s">
        <v>2</v>
      </c>
      <c r="D3" t="s">
        <v>3</v>
      </c>
    </row>
    <row r="4" spans="1:4" x14ac:dyDescent="0.25">
      <c r="A4" s="18" t="s">
        <v>52</v>
      </c>
      <c r="B4" s="4">
        <v>8</v>
      </c>
      <c r="C4" s="2">
        <f>0</f>
        <v>0</v>
      </c>
      <c r="D4" s="2">
        <f>B4</f>
        <v>8</v>
      </c>
    </row>
    <row r="5" spans="1:4" ht="45" x14ac:dyDescent="0.25">
      <c r="A5" s="18" t="s">
        <v>44</v>
      </c>
      <c r="B5" s="5">
        <v>43.3</v>
      </c>
      <c r="C5" s="3">
        <v>0</v>
      </c>
      <c r="D5" s="3">
        <f>B5</f>
        <v>43.3</v>
      </c>
    </row>
    <row r="6" spans="1:4" x14ac:dyDescent="0.25">
      <c r="A6" s="18"/>
      <c r="B6" s="5">
        <v>0</v>
      </c>
      <c r="C6" s="3">
        <f>B6*COS((90-B14)*PI()/180)</f>
        <v>0</v>
      </c>
      <c r="D6" s="3">
        <f>B6*SIN((90-B14)*PI()/180)</f>
        <v>0</v>
      </c>
    </row>
    <row r="7" spans="1:4" x14ac:dyDescent="0.25">
      <c r="A7" s="18"/>
      <c r="B7" s="5">
        <v>0</v>
      </c>
      <c r="C7" s="3">
        <f>B7*COS((90-B14)*PI()/180)</f>
        <v>0</v>
      </c>
      <c r="D7" s="3">
        <f>B7*SIN((90-B14)*PI()/180)</f>
        <v>0</v>
      </c>
    </row>
    <row r="8" spans="1:4" x14ac:dyDescent="0.25">
      <c r="A8" s="18" t="s">
        <v>60</v>
      </c>
      <c r="B8" s="5">
        <v>43</v>
      </c>
      <c r="C8" s="3"/>
      <c r="D8" s="3"/>
    </row>
    <row r="9" spans="1:4" x14ac:dyDescent="0.25">
      <c r="A9" s="18" t="s">
        <v>61</v>
      </c>
      <c r="B9" s="5">
        <v>16</v>
      </c>
      <c r="C9" s="3"/>
      <c r="D9" s="3"/>
    </row>
    <row r="10" spans="1:4" x14ac:dyDescent="0.25">
      <c r="A10" s="18" t="s">
        <v>62</v>
      </c>
      <c r="B10" s="5">
        <v>24</v>
      </c>
      <c r="C10" s="3"/>
      <c r="D10" s="3"/>
    </row>
    <row r="11" spans="1:4" ht="15.75" thickBot="1" x14ac:dyDescent="0.3">
      <c r="A11" s="18" t="s">
        <v>38</v>
      </c>
      <c r="B11" s="6">
        <v>24</v>
      </c>
      <c r="C11" s="3"/>
      <c r="D11" s="3"/>
    </row>
    <row r="12" spans="1:4" ht="15.75" thickBot="1" x14ac:dyDescent="0.3"/>
    <row r="13" spans="1:4" ht="15.75" thickBot="1" x14ac:dyDescent="0.3">
      <c r="A13" s="16" t="s">
        <v>0</v>
      </c>
    </row>
    <row r="14" spans="1:4" x14ac:dyDescent="0.25">
      <c r="A14" t="s">
        <v>1</v>
      </c>
      <c r="B14" s="4">
        <v>48.5</v>
      </c>
      <c r="C14" t="s">
        <v>5</v>
      </c>
    </row>
    <row r="15" spans="1:4" x14ac:dyDescent="0.25">
      <c r="A15" t="s">
        <v>8</v>
      </c>
      <c r="B15" s="5">
        <v>15</v>
      </c>
      <c r="C15" t="s">
        <v>7</v>
      </c>
    </row>
    <row r="16" spans="1:4" x14ac:dyDescent="0.25">
      <c r="A16" t="s">
        <v>9</v>
      </c>
      <c r="B16" s="5">
        <v>31.5</v>
      </c>
      <c r="C16" t="s">
        <v>6</v>
      </c>
      <c r="D16" s="1"/>
    </row>
    <row r="17" spans="1:4" x14ac:dyDescent="0.25">
      <c r="A17" t="s">
        <v>14</v>
      </c>
      <c r="B17" s="5">
        <v>20</v>
      </c>
      <c r="C17" t="s">
        <v>6</v>
      </c>
      <c r="D17" s="1"/>
    </row>
    <row r="18" spans="1:4" ht="30.75" thickBot="1" x14ac:dyDescent="0.3">
      <c r="A18" s="20" t="s">
        <v>53</v>
      </c>
      <c r="B18" s="19">
        <f>B4+B5+B17-B16</f>
        <v>39.799999999999997</v>
      </c>
      <c r="C18" t="s">
        <v>45</v>
      </c>
      <c r="D18" s="1"/>
    </row>
    <row r="19" spans="1:4" ht="15.75" thickBot="1" x14ac:dyDescent="0.3"/>
    <row r="20" spans="1:4" ht="15.75" thickBot="1" x14ac:dyDescent="0.3">
      <c r="A20" s="15" t="s">
        <v>4</v>
      </c>
    </row>
    <row r="21" spans="1:4" x14ac:dyDescent="0.25">
      <c r="A21" t="s">
        <v>10</v>
      </c>
      <c r="B21" s="10">
        <f>B17+D4+D5+(B8^2+B9^2)^0.5</f>
        <v>117.18027898781784</v>
      </c>
      <c r="C21" s="1" t="s">
        <v>13</v>
      </c>
    </row>
    <row r="22" spans="1:4" x14ac:dyDescent="0.25">
      <c r="A22" t="s">
        <v>11</v>
      </c>
      <c r="B22" s="13">
        <f>B16+B15*12/2</f>
        <v>121.5</v>
      </c>
      <c r="C22" t="s">
        <v>13</v>
      </c>
    </row>
    <row r="23" spans="1:4" x14ac:dyDescent="0.25">
      <c r="A23" t="s">
        <v>50</v>
      </c>
      <c r="B23" s="11">
        <f>B16+B15/2*12-B21</f>
        <v>4.319721012182157</v>
      </c>
      <c r="C23" s="1" t="s">
        <v>13</v>
      </c>
    </row>
    <row r="24" spans="1:4" x14ac:dyDescent="0.25">
      <c r="A24" t="s">
        <v>37</v>
      </c>
      <c r="B24" s="11">
        <f>B52</f>
        <v>-29.4423139824694</v>
      </c>
      <c r="C24" s="1" t="s">
        <v>28</v>
      </c>
    </row>
    <row r="25" spans="1:4" x14ac:dyDescent="0.25">
      <c r="A25" t="s">
        <v>36</v>
      </c>
      <c r="B25" s="11">
        <f>B59</f>
        <v>-17.165337507447482</v>
      </c>
      <c r="C25" s="1" t="s">
        <v>28</v>
      </c>
    </row>
    <row r="26" spans="1:4" x14ac:dyDescent="0.25">
      <c r="A26" t="s">
        <v>18</v>
      </c>
      <c r="B26" s="11">
        <f>C5</f>
        <v>0</v>
      </c>
      <c r="C26" s="1" t="s">
        <v>13</v>
      </c>
    </row>
    <row r="27" spans="1:4" x14ac:dyDescent="0.25">
      <c r="A27" s="24" t="s">
        <v>47</v>
      </c>
      <c r="B27" s="11">
        <f>B17+D4+D5-B10</f>
        <v>47.3</v>
      </c>
      <c r="C27" s="23" t="s">
        <v>13</v>
      </c>
    </row>
    <row r="28" spans="1:4" ht="15.75" thickBot="1" x14ac:dyDescent="0.3">
      <c r="A28" s="24" t="s">
        <v>48</v>
      </c>
      <c r="B28" s="12">
        <f>B17+D4+D5-B10*SIN(PI()/4)</f>
        <v>54.329437251522862</v>
      </c>
      <c r="C28" s="23" t="s">
        <v>13</v>
      </c>
    </row>
    <row r="29" spans="1:4" x14ac:dyDescent="0.25">
      <c r="A29" s="22"/>
      <c r="B29" s="23"/>
      <c r="C29" s="23"/>
    </row>
    <row r="30" spans="1:4" x14ac:dyDescent="0.25">
      <c r="A30" s="22"/>
      <c r="B30" s="23"/>
      <c r="C30" s="23"/>
    </row>
    <row r="31" spans="1:4" x14ac:dyDescent="0.25">
      <c r="A31" s="22"/>
      <c r="B31" s="23"/>
      <c r="C31" s="23"/>
    </row>
    <row r="32" spans="1:4" x14ac:dyDescent="0.25">
      <c r="A32" s="22"/>
      <c r="B32" s="23"/>
      <c r="C32" s="23"/>
    </row>
    <row r="34" spans="1:3" x14ac:dyDescent="0.25">
      <c r="A34" s="21"/>
      <c r="B34" s="22"/>
      <c r="C34" s="22"/>
    </row>
    <row r="35" spans="1:3" x14ac:dyDescent="0.25">
      <c r="A35" s="22"/>
      <c r="B35" s="22"/>
      <c r="C35" s="22"/>
    </row>
    <row r="36" spans="1:3" x14ac:dyDescent="0.25">
      <c r="A36" s="22"/>
      <c r="B36" s="23"/>
      <c r="C36" s="22"/>
    </row>
    <row r="37" spans="1:3" x14ac:dyDescent="0.25">
      <c r="A37" s="22"/>
      <c r="B37" s="23"/>
      <c r="C37" s="22"/>
    </row>
    <row r="38" spans="1:3" x14ac:dyDescent="0.25">
      <c r="A38" s="22"/>
      <c r="B38" s="23"/>
      <c r="C38" s="22"/>
    </row>
    <row r="39" spans="1:3" x14ac:dyDescent="0.25">
      <c r="A39" s="22"/>
      <c r="B39" s="23"/>
      <c r="C39" s="22"/>
    </row>
    <row r="42" spans="1:3" x14ac:dyDescent="0.25">
      <c r="A42" s="7" t="s">
        <v>24</v>
      </c>
    </row>
    <row r="43" spans="1:3" ht="30" x14ac:dyDescent="0.25">
      <c r="A43" s="9" t="s">
        <v>15</v>
      </c>
      <c r="B43" s="3" t="s">
        <v>46</v>
      </c>
    </row>
    <row r="44" spans="1:3" ht="30" x14ac:dyDescent="0.25">
      <c r="A44" s="9" t="s">
        <v>16</v>
      </c>
      <c r="B44" s="3" t="s">
        <v>46</v>
      </c>
    </row>
    <row r="45" spans="1:3" x14ac:dyDescent="0.25">
      <c r="A45" s="9" t="s">
        <v>39</v>
      </c>
      <c r="B45" s="3">
        <f>B11/2</f>
        <v>12</v>
      </c>
    </row>
    <row r="47" spans="1:3" x14ac:dyDescent="0.25">
      <c r="A47" s="7" t="s">
        <v>33</v>
      </c>
    </row>
    <row r="48" spans="1:3" x14ac:dyDescent="0.25">
      <c r="A48" s="2" t="s">
        <v>26</v>
      </c>
      <c r="B48" s="3">
        <f>B4+B5+B8</f>
        <v>94.3</v>
      </c>
    </row>
    <row r="49" spans="1:4" x14ac:dyDescent="0.25">
      <c r="A49" s="2" t="s">
        <v>40</v>
      </c>
      <c r="B49" s="3">
        <f>B45-(B48-B16)</f>
        <v>-50.8</v>
      </c>
      <c r="D49" s="1"/>
    </row>
    <row r="50" spans="1:4" x14ac:dyDescent="0.25">
      <c r="A50" s="2" t="s">
        <v>27</v>
      </c>
      <c r="B50" s="2">
        <f>B15/2*12</f>
        <v>90</v>
      </c>
    </row>
    <row r="51" spans="1:4" x14ac:dyDescent="0.25">
      <c r="A51" s="2" t="s">
        <v>41</v>
      </c>
      <c r="B51" s="2">
        <f>ATAN(B49/B50)</f>
        <v>-0.51386531840005512</v>
      </c>
    </row>
    <row r="52" spans="1:4" x14ac:dyDescent="0.25">
      <c r="A52" s="2" t="s">
        <v>42</v>
      </c>
      <c r="B52" s="2">
        <f>B51*180/PI()</f>
        <v>-29.4423139824694</v>
      </c>
      <c r="C52" t="s">
        <v>28</v>
      </c>
    </row>
    <row r="54" spans="1:4" x14ac:dyDescent="0.25">
      <c r="A54" s="17" t="s">
        <v>34</v>
      </c>
    </row>
    <row r="55" spans="1:4" x14ac:dyDescent="0.25">
      <c r="A55" s="2" t="s">
        <v>35</v>
      </c>
      <c r="B55" s="3">
        <f>D4+D5+D6+B17</f>
        <v>71.3</v>
      </c>
    </row>
    <row r="56" spans="1:4" x14ac:dyDescent="0.25">
      <c r="A56" s="2" t="s">
        <v>40</v>
      </c>
      <c r="B56" s="3">
        <f>B45-(B55-B16)</f>
        <v>-27.799999999999997</v>
      </c>
    </row>
    <row r="57" spans="1:4" x14ac:dyDescent="0.25">
      <c r="A57" s="2" t="s">
        <v>27</v>
      </c>
      <c r="B57" s="2">
        <f>B15/2*12</f>
        <v>90</v>
      </c>
    </row>
    <row r="58" spans="1:4" x14ac:dyDescent="0.25">
      <c r="A58" s="2" t="s">
        <v>41</v>
      </c>
      <c r="B58" s="2">
        <f>ATAN(B56/B57)</f>
        <v>-0.29959165672103522</v>
      </c>
    </row>
    <row r="59" spans="1:4" x14ac:dyDescent="0.25">
      <c r="A59" s="2" t="s">
        <v>42</v>
      </c>
      <c r="B59" s="2">
        <f>B58*180/PI()</f>
        <v>-17.165337507447482</v>
      </c>
      <c r="C59" t="s">
        <v>28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L39"/>
  <sheetViews>
    <sheetView workbookViewId="0">
      <selection activeCell="C22" sqref="C22"/>
    </sheetView>
  </sheetViews>
  <sheetFormatPr defaultRowHeight="15" x14ac:dyDescent="0.25"/>
  <cols>
    <col min="2" max="2" width="15.42578125" customWidth="1"/>
    <col min="3" max="3" width="14" customWidth="1"/>
    <col min="9" max="9" width="11.42578125" customWidth="1"/>
  </cols>
  <sheetData>
    <row r="1" spans="1:9" ht="43.7" customHeight="1" x14ac:dyDescent="0.25">
      <c r="C1" s="20" t="s">
        <v>169</v>
      </c>
      <c r="D1" s="20" t="s">
        <v>170</v>
      </c>
      <c r="E1" s="20" t="s">
        <v>168</v>
      </c>
      <c r="F1" s="20" t="s">
        <v>171</v>
      </c>
      <c r="G1" s="20"/>
    </row>
    <row r="2" spans="1:9" x14ac:dyDescent="0.25">
      <c r="A2" t="s">
        <v>126</v>
      </c>
      <c r="B2" s="42" t="s">
        <v>77</v>
      </c>
      <c r="C2" s="42" t="s">
        <v>81</v>
      </c>
      <c r="D2" s="42" t="s">
        <v>82</v>
      </c>
      <c r="E2" s="42" t="s">
        <v>83</v>
      </c>
      <c r="F2" s="42" t="s">
        <v>84</v>
      </c>
      <c r="G2" s="42" t="s">
        <v>38</v>
      </c>
    </row>
    <row r="3" spans="1:9" x14ac:dyDescent="0.25">
      <c r="B3" s="33" t="s">
        <v>89</v>
      </c>
      <c r="C3" s="33">
        <v>8.6199999999999992</v>
      </c>
      <c r="D3" s="91">
        <v>28</v>
      </c>
      <c r="E3" s="33">
        <v>7.5</v>
      </c>
      <c r="F3" s="91">
        <v>18</v>
      </c>
      <c r="G3" s="33">
        <v>12.5</v>
      </c>
      <c r="I3" s="92" t="s">
        <v>172</v>
      </c>
    </row>
    <row r="4" spans="1:9" x14ac:dyDescent="0.25">
      <c r="B4" s="33" t="s">
        <v>115</v>
      </c>
      <c r="C4" s="33">
        <v>9.4749999999999996</v>
      </c>
      <c r="D4" s="33">
        <v>28</v>
      </c>
      <c r="E4" s="33">
        <v>9.0749999999999993</v>
      </c>
      <c r="F4" s="33">
        <v>18.8</v>
      </c>
      <c r="G4" s="33">
        <v>14</v>
      </c>
    </row>
    <row r="5" spans="1:9" x14ac:dyDescent="0.25">
      <c r="B5" s="33" t="s">
        <v>90</v>
      </c>
      <c r="C5" s="33">
        <v>12.4</v>
      </c>
      <c r="D5" s="33">
        <v>29.7</v>
      </c>
      <c r="E5" s="33">
        <v>11.4</v>
      </c>
      <c r="F5" s="33">
        <v>22.7</v>
      </c>
      <c r="G5" s="33">
        <v>17</v>
      </c>
    </row>
    <row r="6" spans="1:9" x14ac:dyDescent="0.25">
      <c r="B6" s="33" t="s">
        <v>91</v>
      </c>
      <c r="C6" s="33">
        <v>15</v>
      </c>
      <c r="D6" s="91">
        <v>38</v>
      </c>
      <c r="E6" s="33">
        <v>12.44</v>
      </c>
      <c r="F6" s="91">
        <v>17</v>
      </c>
      <c r="G6" s="33">
        <v>20</v>
      </c>
    </row>
    <row r="7" spans="1:9" x14ac:dyDescent="0.25">
      <c r="B7" s="33" t="s">
        <v>92</v>
      </c>
      <c r="C7" s="33">
        <v>19</v>
      </c>
      <c r="D7" s="33">
        <v>41</v>
      </c>
      <c r="E7" s="33">
        <v>16</v>
      </c>
      <c r="F7" s="33">
        <v>29</v>
      </c>
      <c r="G7" s="33">
        <v>24</v>
      </c>
    </row>
    <row r="10" spans="1:9" x14ac:dyDescent="0.25">
      <c r="A10" t="s">
        <v>127</v>
      </c>
      <c r="B10" s="42" t="s">
        <v>95</v>
      </c>
      <c r="C10" s="42" t="s">
        <v>78</v>
      </c>
      <c r="D10" s="42" t="s">
        <v>79</v>
      </c>
      <c r="E10" s="42" t="s">
        <v>80</v>
      </c>
      <c r="F10" s="42" t="s">
        <v>125</v>
      </c>
      <c r="G10" s="42"/>
      <c r="I10" t="s">
        <v>109</v>
      </c>
    </row>
    <row r="11" spans="1:9" x14ac:dyDescent="0.25">
      <c r="B11" s="33" t="s">
        <v>85</v>
      </c>
      <c r="C11" s="33">
        <v>11.45</v>
      </c>
      <c r="D11" s="33">
        <v>8</v>
      </c>
      <c r="E11" s="33">
        <v>10.5</v>
      </c>
      <c r="F11" s="33">
        <v>30.5</v>
      </c>
      <c r="G11" s="33"/>
      <c r="I11" t="s">
        <v>110</v>
      </c>
    </row>
    <row r="12" spans="1:9" x14ac:dyDescent="0.25">
      <c r="B12" s="33" t="s">
        <v>116</v>
      </c>
      <c r="C12" s="33">
        <v>5.3</v>
      </c>
      <c r="D12" s="33">
        <v>10.6</v>
      </c>
      <c r="E12" s="33">
        <v>6.75</v>
      </c>
      <c r="F12" s="33">
        <v>0</v>
      </c>
      <c r="G12" s="33"/>
    </row>
    <row r="13" spans="1:9" x14ac:dyDescent="0.25">
      <c r="B13" s="33" t="s">
        <v>111</v>
      </c>
      <c r="C13" s="33">
        <v>5.8040000000000003</v>
      </c>
      <c r="D13" s="33">
        <v>14.9</v>
      </c>
      <c r="E13" s="33">
        <v>9.3125</v>
      </c>
      <c r="F13" s="33">
        <v>0</v>
      </c>
      <c r="G13" s="33"/>
    </row>
    <row r="14" spans="1:9" x14ac:dyDescent="0.25">
      <c r="B14" s="33" t="s">
        <v>86</v>
      </c>
      <c r="C14" s="33">
        <v>12.5</v>
      </c>
      <c r="D14" s="33">
        <v>13.2</v>
      </c>
      <c r="E14" s="33">
        <v>11.3125</v>
      </c>
      <c r="F14" s="33">
        <v>0</v>
      </c>
      <c r="G14" s="33"/>
    </row>
    <row r="15" spans="1:9" x14ac:dyDescent="0.25">
      <c r="B15" s="33" t="s">
        <v>93</v>
      </c>
      <c r="C15" s="33">
        <v>3.25</v>
      </c>
      <c r="D15" s="33">
        <v>13.4</v>
      </c>
      <c r="E15" s="33">
        <v>9</v>
      </c>
      <c r="F15" s="33">
        <v>0</v>
      </c>
      <c r="G15" s="33"/>
    </row>
    <row r="16" spans="1:9" x14ac:dyDescent="0.25">
      <c r="B16" s="33" t="s">
        <v>94</v>
      </c>
      <c r="C16" s="33">
        <v>4.8</v>
      </c>
      <c r="D16" s="33">
        <v>14.5</v>
      </c>
      <c r="E16" s="33">
        <v>11.5</v>
      </c>
      <c r="F16" s="33">
        <v>0</v>
      </c>
      <c r="G16" s="33"/>
    </row>
    <row r="17" spans="1:12" x14ac:dyDescent="0.25">
      <c r="B17" s="33" t="s">
        <v>108</v>
      </c>
      <c r="C17" s="33">
        <v>4.8250000000000002</v>
      </c>
      <c r="D17" s="33">
        <v>12.5</v>
      </c>
      <c r="E17" s="33">
        <v>9.5</v>
      </c>
      <c r="F17" s="33">
        <v>0</v>
      </c>
      <c r="G17" s="33"/>
    </row>
    <row r="18" spans="1:12" x14ac:dyDescent="0.25">
      <c r="B18" s="22"/>
      <c r="C18" s="22"/>
      <c r="D18" s="22"/>
      <c r="E18" s="22"/>
      <c r="F18" s="22"/>
    </row>
    <row r="19" spans="1:12" x14ac:dyDescent="0.25">
      <c r="A19" t="s">
        <v>151</v>
      </c>
      <c r="B19" s="42" t="s">
        <v>152</v>
      </c>
      <c r="C19" s="42" t="s">
        <v>144</v>
      </c>
      <c r="D19" s="42" t="s">
        <v>153</v>
      </c>
      <c r="E19" s="42" t="s">
        <v>180</v>
      </c>
      <c r="F19" s="22"/>
    </row>
    <row r="20" spans="1:12" x14ac:dyDescent="0.25">
      <c r="B20" s="73" t="s">
        <v>129</v>
      </c>
      <c r="C20" s="73">
        <v>42.706000000000003</v>
      </c>
      <c r="D20" s="73">
        <v>13.5</v>
      </c>
      <c r="E20" s="73">
        <v>2</v>
      </c>
      <c r="F20" s="22"/>
      <c r="J20" s="61" t="s">
        <v>133</v>
      </c>
      <c r="K20" s="62"/>
      <c r="L20" s="63"/>
    </row>
    <row r="21" spans="1:12" x14ac:dyDescent="0.25">
      <c r="B21" s="73" t="s">
        <v>150</v>
      </c>
      <c r="C21" s="73">
        <v>52.7</v>
      </c>
      <c r="D21" s="73">
        <v>13.5</v>
      </c>
      <c r="E21" s="73">
        <v>2</v>
      </c>
      <c r="F21" s="22"/>
      <c r="J21" s="64" t="s">
        <v>135</v>
      </c>
      <c r="K21" s="65"/>
      <c r="L21" s="66"/>
    </row>
    <row r="22" spans="1:12" x14ac:dyDescent="0.25">
      <c r="B22" s="73" t="s">
        <v>177</v>
      </c>
      <c r="C22" s="73">
        <v>33.537999999999997</v>
      </c>
      <c r="D22" s="73">
        <v>11.1</v>
      </c>
      <c r="E22" s="73">
        <v>1.25</v>
      </c>
      <c r="F22" s="22"/>
      <c r="J22" s="61" t="s">
        <v>137</v>
      </c>
      <c r="K22" s="62"/>
      <c r="L22" s="63"/>
    </row>
    <row r="23" spans="1:12" x14ac:dyDescent="0.25">
      <c r="B23" s="22"/>
      <c r="C23" s="22"/>
      <c r="D23" s="22"/>
      <c r="E23" s="22"/>
      <c r="F23" s="22"/>
    </row>
    <row r="24" spans="1:12" x14ac:dyDescent="0.25">
      <c r="B24" s="22"/>
      <c r="C24" s="22"/>
      <c r="D24" s="22"/>
      <c r="E24" s="22"/>
      <c r="F24" s="22"/>
    </row>
    <row r="25" spans="1:12" x14ac:dyDescent="0.25">
      <c r="B25" s="22"/>
      <c r="C25" s="22"/>
      <c r="D25" s="22"/>
      <c r="E25" s="22"/>
      <c r="F25" s="22"/>
    </row>
    <row r="26" spans="1:12" x14ac:dyDescent="0.25">
      <c r="B26" s="22"/>
      <c r="C26" s="22"/>
      <c r="D26" s="22"/>
      <c r="E26" s="22"/>
      <c r="F26" s="22"/>
    </row>
    <row r="27" spans="1:12" x14ac:dyDescent="0.25">
      <c r="B27" s="22"/>
      <c r="C27" s="22"/>
      <c r="D27" s="22"/>
      <c r="E27" s="22"/>
      <c r="F27" s="22"/>
    </row>
    <row r="28" spans="1:12" x14ac:dyDescent="0.25">
      <c r="B28" s="22"/>
      <c r="C28" s="22"/>
      <c r="D28" s="22"/>
      <c r="E28" s="22"/>
      <c r="F28" s="22"/>
    </row>
    <row r="29" spans="1:12" x14ac:dyDescent="0.25">
      <c r="B29" s="22"/>
      <c r="C29" s="22"/>
      <c r="D29" s="22"/>
      <c r="E29" s="22"/>
      <c r="F29" s="22"/>
    </row>
    <row r="30" spans="1:12" x14ac:dyDescent="0.25">
      <c r="B30" s="22"/>
      <c r="C30" s="22"/>
      <c r="D30" s="22"/>
      <c r="E30" s="22"/>
      <c r="F30" s="22"/>
    </row>
    <row r="31" spans="1:12" x14ac:dyDescent="0.25">
      <c r="B31" s="22"/>
      <c r="C31" s="22"/>
      <c r="D31" s="22"/>
      <c r="E31" s="22"/>
      <c r="F31" s="22"/>
    </row>
    <row r="32" spans="1:12" x14ac:dyDescent="0.25">
      <c r="B32" s="22"/>
      <c r="C32" s="22"/>
      <c r="D32" s="22"/>
      <c r="E32" s="22"/>
    </row>
    <row r="33" spans="2:2" x14ac:dyDescent="0.25">
      <c r="B33" t="s">
        <v>31</v>
      </c>
    </row>
    <row r="34" spans="2:2" x14ac:dyDescent="0.25">
      <c r="B34" t="s">
        <v>55</v>
      </c>
    </row>
    <row r="35" spans="2:2" x14ac:dyDescent="0.25">
      <c r="B35" t="s">
        <v>54</v>
      </c>
    </row>
    <row r="36" spans="2:2" x14ac:dyDescent="0.25">
      <c r="B36" t="s">
        <v>51</v>
      </c>
    </row>
    <row r="37" spans="2:2" x14ac:dyDescent="0.25">
      <c r="B37" t="s">
        <v>64</v>
      </c>
    </row>
    <row r="38" spans="2:2" x14ac:dyDescent="0.25">
      <c r="B38" t="s">
        <v>65</v>
      </c>
    </row>
    <row r="39" spans="2:2" x14ac:dyDescent="0.25">
      <c r="B39" t="s">
        <v>66</v>
      </c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15</vt:i4>
      </vt:variant>
    </vt:vector>
  </HeadingPairs>
  <TitlesOfParts>
    <vt:vector size="22" baseType="lpstr">
      <vt:lpstr>A200 and other GEM's</vt:lpstr>
      <vt:lpstr>L-Series AltAz</vt:lpstr>
      <vt:lpstr>L-Series EQ</vt:lpstr>
      <vt:lpstr>CDK700</vt:lpstr>
      <vt:lpstr>Other Forks</vt:lpstr>
      <vt:lpstr>AltAz</vt:lpstr>
      <vt:lpstr>Data</vt:lpstr>
      <vt:lpstr>A</vt:lpstr>
      <vt:lpstr>AA</vt:lpstr>
      <vt:lpstr>AB</vt:lpstr>
      <vt:lpstr>AltAz_Mounts</vt:lpstr>
      <vt:lpstr>Aperture</vt:lpstr>
      <vt:lpstr>B</vt:lpstr>
      <vt:lpstr>C_</vt:lpstr>
      <vt:lpstr>CDK</vt:lpstr>
      <vt:lpstr>D</vt:lpstr>
      <vt:lpstr>E</vt:lpstr>
      <vt:lpstr>F</vt:lpstr>
      <vt:lpstr>G</vt:lpstr>
      <vt:lpstr>H</vt:lpstr>
      <vt:lpstr>I</vt:lpstr>
      <vt:lpstr>Mount</vt:lpstr>
    </vt:vector>
  </TitlesOfParts>
  <Company>Planewave Instruments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Rick Hedrick</dc:creator>
  <cp:lastModifiedBy>Eric Blackhurst</cp:lastModifiedBy>
  <cp:lastPrinted>2013-05-03T21:57:54Z</cp:lastPrinted>
  <dcterms:created xsi:type="dcterms:W3CDTF">2011-01-12T07:04:02Z</dcterms:created>
  <dcterms:modified xsi:type="dcterms:W3CDTF">2020-07-08T15:39:30Z</dcterms:modified>
</cp:coreProperties>
</file>